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DA54C04C-8E85-4B11-B65B-7502BD247BB9}"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 r:id="rId12"/>
  </externalReferences>
  <calcPr calcId="191029"/>
  <pivotCaches>
    <pivotCache cacheId="6"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1" l="1"/>
  <c r="Q45" i="1"/>
  <c r="T45" i="1"/>
  <c r="X45" i="1"/>
  <c r="Y45" i="1" s="1"/>
  <c r="K44" i="1"/>
  <c r="Q44" i="1"/>
  <c r="AB45" i="1" s="1"/>
  <c r="AA45" i="1" s="1"/>
  <c r="T44" i="1"/>
  <c r="K43" i="1"/>
  <c r="Q43" i="1"/>
  <c r="T43" i="1"/>
  <c r="K42" i="1"/>
  <c r="Q42" i="1"/>
  <c r="T42" i="1"/>
  <c r="K41" i="1"/>
  <c r="Q41" i="1"/>
  <c r="T41" i="1"/>
  <c r="AC45" i="1" l="1"/>
  <c r="X44" i="1"/>
  <c r="Y44" i="1" s="1"/>
  <c r="X43" i="1"/>
  <c r="Y43" i="1" s="1"/>
  <c r="AB44" i="1"/>
  <c r="AA44" i="1" s="1"/>
  <c r="Z45" i="1"/>
  <c r="AB43" i="1"/>
  <c r="AA43" i="1" s="1"/>
  <c r="Z44" i="1"/>
  <c r="X42" i="1"/>
  <c r="Y42" i="1" s="1"/>
  <c r="AB41" i="1"/>
  <c r="AA41" i="1" s="1"/>
  <c r="X41" i="1"/>
  <c r="Y41" i="1" s="1"/>
  <c r="AB42" i="1"/>
  <c r="AA42" i="1" s="1"/>
  <c r="Z42" i="1"/>
  <c r="H16" i="1"/>
  <c r="I16" i="1" s="1"/>
  <c r="X17" i="1"/>
  <c r="T16" i="1"/>
  <c r="K17" i="1"/>
  <c r="K11" i="1"/>
  <c r="Q11" i="1"/>
  <c r="T11" i="1"/>
  <c r="AC44" i="1" l="1"/>
  <c r="AC43" i="1"/>
  <c r="Z43" i="1"/>
  <c r="Z41" i="1"/>
  <c r="AC42" i="1"/>
  <c r="AC41" i="1"/>
  <c r="X16" i="1"/>
  <c r="Z16" i="1" s="1"/>
  <c r="Y16" i="1" l="1"/>
  <c r="Q12" i="1"/>
  <c r="X12" i="1" s="1"/>
  <c r="Z12" i="1" s="1"/>
  <c r="T12" i="1"/>
  <c r="Q13" i="1"/>
  <c r="T13" i="1"/>
  <c r="Q14" i="1"/>
  <c r="T14" i="1"/>
  <c r="Q15" i="1"/>
  <c r="T15" i="1"/>
  <c r="AB15" i="1" l="1"/>
  <c r="AA15" i="1" s="1"/>
  <c r="AB12" i="1"/>
  <c r="AA12" i="1" s="1"/>
  <c r="X14" i="1"/>
  <c r="Z14" i="1" s="1"/>
  <c r="X15" i="1"/>
  <c r="Z15" i="1" s="1"/>
  <c r="AB13" i="1"/>
  <c r="AA13" i="1" s="1"/>
  <c r="AB14" i="1"/>
  <c r="AA14" i="1" s="1"/>
  <c r="X13" i="1"/>
  <c r="Z13" i="1" s="1"/>
  <c r="Y12" i="1"/>
  <c r="T10" i="1"/>
  <c r="H10" i="1"/>
  <c r="I10" i="1" s="1"/>
  <c r="K62" i="1"/>
  <c r="K59" i="1"/>
  <c r="K57" i="1"/>
  <c r="K31" i="1"/>
  <c r="K69" i="1"/>
  <c r="K29" i="1"/>
  <c r="K60" i="1"/>
  <c r="K54" i="1"/>
  <c r="K30" i="1"/>
  <c r="K38" i="1"/>
  <c r="K27" i="1"/>
  <c r="K35" i="1"/>
  <c r="K63" i="1"/>
  <c r="K56" i="1"/>
  <c r="K39" i="1"/>
  <c r="K24" i="1"/>
  <c r="K65" i="1"/>
  <c r="K66" i="1"/>
  <c r="K37" i="1"/>
  <c r="K21" i="1"/>
  <c r="K19" i="1"/>
  <c r="K55" i="1"/>
  <c r="K18" i="1"/>
  <c r="K32" i="1"/>
  <c r="K26" i="1"/>
  <c r="K33" i="1"/>
  <c r="K20" i="1"/>
  <c r="K36" i="1"/>
  <c r="K67" i="1"/>
  <c r="K23" i="1"/>
  <c r="K68" i="1"/>
  <c r="K53" i="1"/>
  <c r="K25" i="1"/>
  <c r="K61" i="1"/>
  <c r="Y14" i="1" l="1"/>
  <c r="AC14" i="1" s="1"/>
  <c r="AC12" i="1"/>
  <c r="Y15" i="1"/>
  <c r="AC15" i="1" s="1"/>
  <c r="Y13" i="1"/>
  <c r="AC13"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2"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40" i="1"/>
  <c r="H40" i="1"/>
  <c r="I40" i="1" s="1"/>
  <c r="T39" i="1"/>
  <c r="Q39" i="1"/>
  <c r="T38" i="1"/>
  <c r="Q38" i="1"/>
  <c r="T37" i="1"/>
  <c r="Q37" i="1"/>
  <c r="T36" i="1"/>
  <c r="Q36" i="1"/>
  <c r="T35" i="1"/>
  <c r="Q35" i="1"/>
  <c r="T34" i="1"/>
  <c r="H34" i="1"/>
  <c r="I34" i="1" s="1"/>
  <c r="T33" i="1"/>
  <c r="Q33" i="1"/>
  <c r="T32" i="1"/>
  <c r="Q32" i="1"/>
  <c r="T31" i="1"/>
  <c r="Q31" i="1"/>
  <c r="T30" i="1"/>
  <c r="Q30" i="1"/>
  <c r="T29" i="1"/>
  <c r="Q29" i="1"/>
  <c r="T28" i="1"/>
  <c r="H28" i="1"/>
  <c r="I28" i="1" s="1"/>
  <c r="T27" i="1"/>
  <c r="Q27" i="1"/>
  <c r="T26" i="1"/>
  <c r="Q26" i="1"/>
  <c r="T25" i="1"/>
  <c r="Q25" i="1"/>
  <c r="T24" i="1"/>
  <c r="Q24" i="1"/>
  <c r="T23" i="1"/>
  <c r="Q23" i="1"/>
  <c r="T22" i="1"/>
  <c r="H22" i="1"/>
  <c r="I22" i="1" s="1"/>
  <c r="T21" i="1"/>
  <c r="Q21" i="1"/>
  <c r="T20" i="1"/>
  <c r="Q20" i="1"/>
  <c r="T19" i="1"/>
  <c r="Q19" i="1"/>
  <c r="T18" i="1"/>
  <c r="Q18" i="1"/>
  <c r="X64" i="1" l="1"/>
  <c r="X58" i="1"/>
  <c r="X52" i="1"/>
  <c r="X40" i="1"/>
  <c r="X34" i="1"/>
  <c r="X28" i="1"/>
  <c r="X22" i="1"/>
  <c r="Y64" i="1" l="1"/>
  <c r="Z64" i="1"/>
  <c r="X65" i="1" s="1"/>
  <c r="Y65" i="1" s="1"/>
  <c r="Y58" i="1"/>
  <c r="Z58" i="1"/>
  <c r="X59" i="1" s="1"/>
  <c r="Z59" i="1" s="1"/>
  <c r="X60" i="1" s="1"/>
  <c r="Y52" i="1"/>
  <c r="Z52" i="1"/>
  <c r="X53" i="1" s="1"/>
  <c r="Z53" i="1" s="1"/>
  <c r="X54" i="1" s="1"/>
  <c r="Y40" i="1"/>
  <c r="Z40" i="1"/>
  <c r="Y34" i="1"/>
  <c r="Z34" i="1"/>
  <c r="Y28" i="1"/>
  <c r="Z28" i="1"/>
  <c r="X29" i="1" s="1"/>
  <c r="Z29" i="1" s="1"/>
  <c r="X30" i="1" s="1"/>
  <c r="Y30" i="1" s="1"/>
  <c r="Y22" i="1"/>
  <c r="Z22" i="1"/>
  <c r="X23" i="1" s="1"/>
  <c r="Y23" i="1" s="1"/>
  <c r="Y59" i="1" l="1"/>
  <c r="Y53" i="1"/>
  <c r="Z23" i="1"/>
  <c r="X24" i="1" s="1"/>
  <c r="Y24" i="1" s="1"/>
  <c r="Y29" i="1"/>
  <c r="Z60" i="1"/>
  <c r="X61" i="1" s="1"/>
  <c r="Y60" i="1"/>
  <c r="Z54" i="1"/>
  <c r="X55" i="1" s="1"/>
  <c r="Y54" i="1"/>
  <c r="Z65" i="1"/>
  <c r="X66" i="1" s="1"/>
  <c r="X35"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61" i="1" l="1"/>
  <c r="Z61" i="1"/>
  <c r="Y55" i="1"/>
  <c r="Z55" i="1"/>
  <c r="X56" i="1" s="1"/>
  <c r="Z24" i="1"/>
  <c r="X25" i="1" s="1"/>
  <c r="Z25" i="1" s="1"/>
  <c r="Y66" i="1"/>
  <c r="Z66" i="1"/>
  <c r="X67" i="1" s="1"/>
  <c r="Y35" i="1"/>
  <c r="Z35" i="1"/>
  <c r="X36" i="1" s="1"/>
  <c r="Y36" i="1" s="1"/>
  <c r="X32" i="1"/>
  <c r="Y32" i="1" s="1"/>
  <c r="X31" i="1"/>
  <c r="X18" i="1"/>
  <c r="Y18" i="1" s="1"/>
  <c r="Z36" i="1" l="1"/>
  <c r="X37" i="1" s="1"/>
  <c r="Z37" i="1" s="1"/>
  <c r="X38" i="1" s="1"/>
  <c r="Y56" i="1"/>
  <c r="Z56" i="1"/>
  <c r="X57" i="1" s="1"/>
  <c r="X62" i="1"/>
  <c r="X63" i="1"/>
  <c r="Y25" i="1"/>
  <c r="X26" i="1"/>
  <c r="Z67" i="1"/>
  <c r="Y67" i="1"/>
  <c r="Y31" i="1"/>
  <c r="Z31" i="1"/>
  <c r="Z32" i="1"/>
  <c r="X33" i="1" s="1"/>
  <c r="Z18" i="1"/>
  <c r="X19" i="1" s="1"/>
  <c r="Y19" i="1" s="1"/>
  <c r="Y37" i="1" l="1"/>
  <c r="Y63" i="1"/>
  <c r="Z63" i="1"/>
  <c r="Y62" i="1"/>
  <c r="Z62" i="1"/>
  <c r="Y57" i="1"/>
  <c r="Z57" i="1"/>
  <c r="X68" i="1"/>
  <c r="X69" i="1"/>
  <c r="Z38" i="1"/>
  <c r="X39" i="1" s="1"/>
  <c r="Y38" i="1"/>
  <c r="Y26" i="1"/>
  <c r="Z26" i="1"/>
  <c r="X27" i="1" s="1"/>
  <c r="Y27" i="1" s="1"/>
  <c r="Y33" i="1"/>
  <c r="Z33" i="1"/>
  <c r="Z19" i="1"/>
  <c r="X20" i="1" s="1"/>
  <c r="Z20" i="1" s="1"/>
  <c r="X21" i="1" s="1"/>
  <c r="X10" i="1"/>
  <c r="Y10" i="1" s="1"/>
  <c r="Y69" i="1" l="1"/>
  <c r="Z69" i="1"/>
  <c r="Y68" i="1"/>
  <c r="Z68" i="1"/>
  <c r="Y39" i="1"/>
  <c r="Z39" i="1"/>
  <c r="Z27" i="1"/>
  <c r="Y20" i="1"/>
  <c r="Y21" i="1"/>
  <c r="Z21" i="1"/>
  <c r="Z10" i="1" l="1"/>
  <c r="AB29" i="1" l="1"/>
  <c r="AB66" i="1"/>
  <c r="AB59" i="1"/>
  <c r="AB58" i="1"/>
  <c r="AB53" i="1"/>
  <c r="AB52" i="1"/>
  <c r="AA52" i="1" s="1"/>
  <c r="AB23" i="1"/>
  <c r="AB35" i="1"/>
  <c r="AA23" i="1" l="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B18" i="1"/>
  <c r="AA53" i="1"/>
  <c r="AB54" i="1"/>
  <c r="AA59" i="1"/>
  <c r="AB60"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36" i="1"/>
  <c r="AB3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6" i="1" l="1"/>
  <c r="L16" i="1" s="1"/>
  <c r="K40" i="1"/>
  <c r="L40" i="1" s="1"/>
  <c r="K10" i="1"/>
  <c r="L10" i="1" s="1"/>
  <c r="K58" i="1"/>
  <c r="L58" i="1" s="1"/>
  <c r="K28" i="1"/>
  <c r="L28" i="1" s="1"/>
  <c r="K34" i="1"/>
  <c r="L34" i="1" s="1"/>
  <c r="K52" i="1"/>
  <c r="L52" i="1" s="1"/>
  <c r="K22" i="1"/>
  <c r="L22" i="1" s="1"/>
  <c r="K64" i="1"/>
  <c r="L64" i="1" s="1"/>
  <c r="AF30" i="18" l="1"/>
  <c r="T14" i="18"/>
  <c r="Z22" i="18"/>
  <c r="AL38" i="18"/>
  <c r="T30" i="18"/>
  <c r="N14" i="18"/>
  <c r="T38" i="18"/>
  <c r="AL6" i="18"/>
  <c r="T22" i="18"/>
  <c r="Z14" i="18"/>
  <c r="AL14" i="18"/>
  <c r="Z38" i="18"/>
  <c r="N22" i="18"/>
  <c r="N22" i="1"/>
  <c r="AL22" i="18"/>
  <c r="T6" i="18"/>
  <c r="AF22" i="18"/>
  <c r="Z6" i="18"/>
  <c r="N6" i="18"/>
  <c r="M22" i="1"/>
  <c r="AB22" i="1" s="1"/>
  <c r="AA22" i="1" s="1"/>
  <c r="AF6" i="18"/>
  <c r="AF14" i="18"/>
  <c r="AF38" i="18"/>
  <c r="N38" i="18"/>
  <c r="AL30" i="18"/>
  <c r="Z30" i="18"/>
  <c r="N30" i="18"/>
  <c r="R34" i="18"/>
  <c r="X42" i="18"/>
  <c r="L34" i="18"/>
  <c r="AD34" i="18"/>
  <c r="AJ42" i="18"/>
  <c r="AD10" i="18"/>
  <c r="R10" i="18"/>
  <c r="R42" i="18"/>
  <c r="L42" i="18"/>
  <c r="X26" i="18"/>
  <c r="L26" i="18"/>
  <c r="AJ18" i="18"/>
  <c r="X18" i="18"/>
  <c r="N52" i="1"/>
  <c r="AJ34" i="18"/>
  <c r="R26" i="18"/>
  <c r="M52" i="1"/>
  <c r="AJ26" i="18"/>
  <c r="R18" i="18"/>
  <c r="X34" i="18"/>
  <c r="AJ10" i="18"/>
  <c r="AD26" i="18"/>
  <c r="AD42" i="18"/>
  <c r="X10" i="18"/>
  <c r="AD18" i="18"/>
  <c r="L10" i="18"/>
  <c r="L18" i="18"/>
  <c r="AB38" i="18"/>
  <c r="AB22" i="18"/>
  <c r="P22" i="18"/>
  <c r="V30" i="18"/>
  <c r="AB30" i="18"/>
  <c r="AB14" i="18"/>
  <c r="M10" i="1"/>
  <c r="AB10" i="1" s="1"/>
  <c r="AA10" i="1" s="1"/>
  <c r="AH30" i="18"/>
  <c r="J30" i="18"/>
  <c r="J22" i="18"/>
  <c r="P38" i="18"/>
  <c r="V38" i="18"/>
  <c r="AB6" i="18"/>
  <c r="N10" i="1"/>
  <c r="P14" i="18"/>
  <c r="J38" i="18"/>
  <c r="V22" i="18"/>
  <c r="AH6" i="18"/>
  <c r="V14" i="18"/>
  <c r="V6" i="18"/>
  <c r="J6" i="18"/>
  <c r="AH22" i="18"/>
  <c r="P30" i="18"/>
  <c r="P6" i="18"/>
  <c r="AH14" i="18"/>
  <c r="J14" i="18"/>
  <c r="AH38" i="18"/>
  <c r="M34" i="1"/>
  <c r="AB34" i="1" s="1"/>
  <c r="AA34" i="1" s="1"/>
  <c r="L16" i="18"/>
  <c r="R40" i="18"/>
  <c r="R24" i="18"/>
  <c r="L40" i="18"/>
  <c r="L8" i="18"/>
  <c r="X16" i="18"/>
  <c r="X32" i="18"/>
  <c r="R32" i="18"/>
  <c r="AJ40" i="18"/>
  <c r="AJ16" i="18"/>
  <c r="R16" i="18"/>
  <c r="R8" i="18"/>
  <c r="AD40" i="18"/>
  <c r="N34" i="1"/>
  <c r="L32" i="18"/>
  <c r="AD32" i="18"/>
  <c r="AJ32" i="18"/>
  <c r="AD24" i="18"/>
  <c r="AD8" i="18"/>
  <c r="L24" i="18"/>
  <c r="X40" i="18"/>
  <c r="X24" i="18"/>
  <c r="AJ8" i="18"/>
  <c r="AJ24" i="18"/>
  <c r="AD16" i="18"/>
  <c r="X8" i="18"/>
  <c r="AH42" i="18"/>
  <c r="V18" i="18"/>
  <c r="AB26" i="18"/>
  <c r="AB34" i="18"/>
  <c r="AH26" i="18"/>
  <c r="AB42" i="18"/>
  <c r="V26" i="18"/>
  <c r="AH18" i="18"/>
  <c r="V42" i="18"/>
  <c r="J34" i="18"/>
  <c r="P26" i="18"/>
  <c r="J10" i="18"/>
  <c r="V10" i="18"/>
  <c r="AB10" i="18"/>
  <c r="J42" i="18"/>
  <c r="J18" i="18"/>
  <c r="P34" i="18"/>
  <c r="AB18" i="18"/>
  <c r="J26" i="18"/>
  <c r="P18" i="18"/>
  <c r="V34" i="18"/>
  <c r="P10" i="18"/>
  <c r="P42" i="18"/>
  <c r="AH10" i="18"/>
  <c r="AH34" i="18"/>
  <c r="AH12" i="18"/>
  <c r="V12" i="18"/>
  <c r="J20" i="18"/>
  <c r="V28" i="18"/>
  <c r="J44" i="18"/>
  <c r="AH44" i="18"/>
  <c r="AB28" i="18"/>
  <c r="P28" i="18"/>
  <c r="AH28" i="18"/>
  <c r="N64" i="1"/>
  <c r="V36" i="18"/>
  <c r="P12" i="18"/>
  <c r="V20" i="18"/>
  <c r="AB36" i="18"/>
  <c r="J12" i="18"/>
  <c r="AH36" i="18"/>
  <c r="J36" i="18"/>
  <c r="M64" i="1"/>
  <c r="AB64" i="1" s="1"/>
  <c r="AA64" i="1" s="1"/>
  <c r="AH20" i="18"/>
  <c r="AB20" i="18"/>
  <c r="P44" i="18"/>
  <c r="J28" i="18"/>
  <c r="AB12" i="18"/>
  <c r="P20" i="18"/>
  <c r="P36" i="18"/>
  <c r="AB44" i="18"/>
  <c r="V44" i="18"/>
  <c r="J40" i="18"/>
  <c r="J8" i="18"/>
  <c r="AB40" i="18"/>
  <c r="AB32" i="18"/>
  <c r="AH32" i="18"/>
  <c r="AB8" i="18"/>
  <c r="AB24" i="18"/>
  <c r="J16" i="18"/>
  <c r="J24" i="18"/>
  <c r="P32" i="18"/>
  <c r="J32" i="18"/>
  <c r="V24" i="18"/>
  <c r="P8" i="18"/>
  <c r="P24" i="18"/>
  <c r="M28" i="1"/>
  <c r="AB28" i="1" s="1"/>
  <c r="AA28" i="1" s="1"/>
  <c r="P16" i="18"/>
  <c r="AH16" i="18"/>
  <c r="P40" i="18"/>
  <c r="V16" i="18"/>
  <c r="V32" i="18"/>
  <c r="N28" i="1"/>
  <c r="V8" i="18"/>
  <c r="AH8" i="18"/>
  <c r="V40" i="18"/>
  <c r="AB16" i="18"/>
  <c r="AH40" i="18"/>
  <c r="AH24" i="18"/>
  <c r="AL40" i="18"/>
  <c r="Z16" i="18"/>
  <c r="T8" i="18"/>
  <c r="T24" i="18"/>
  <c r="Z32" i="18"/>
  <c r="N8" i="18"/>
  <c r="N32" i="18"/>
  <c r="M40" i="1"/>
  <c r="AB40" i="1" s="1"/>
  <c r="AA40" i="1" s="1"/>
  <c r="N16" i="18"/>
  <c r="N40" i="1"/>
  <c r="Z8" i="18"/>
  <c r="N24" i="18"/>
  <c r="AF24" i="18"/>
  <c r="T32" i="18"/>
  <c r="AF32" i="18"/>
  <c r="T16" i="18"/>
  <c r="T40" i="18"/>
  <c r="AF40" i="18"/>
  <c r="N40" i="18"/>
  <c r="AF8" i="18"/>
  <c r="AL8" i="18"/>
  <c r="Z24" i="18"/>
  <c r="AF16" i="18"/>
  <c r="AL24" i="18"/>
  <c r="AL16" i="18"/>
  <c r="Z40" i="18"/>
  <c r="AL32" i="18"/>
  <c r="Z42" i="18"/>
  <c r="AF18" i="18"/>
  <c r="T18" i="18"/>
  <c r="Z26" i="18"/>
  <c r="AF34" i="18"/>
  <c r="AL34" i="18"/>
  <c r="AF42" i="18"/>
  <c r="N42" i="18"/>
  <c r="T10" i="18"/>
  <c r="Z18" i="18"/>
  <c r="N58" i="1"/>
  <c r="AL10" i="18"/>
  <c r="AL42" i="18"/>
  <c r="AL26" i="18"/>
  <c r="T34" i="18"/>
  <c r="T42" i="18"/>
  <c r="N10" i="18"/>
  <c r="AF26" i="18"/>
  <c r="N34" i="18"/>
  <c r="Z10" i="18"/>
  <c r="M58" i="1"/>
  <c r="N18" i="18"/>
  <c r="AF10" i="18"/>
  <c r="T26" i="18"/>
  <c r="N26" i="18"/>
  <c r="AL18" i="18"/>
  <c r="Z34" i="18"/>
  <c r="M16" i="1"/>
  <c r="AB16" i="1" s="1"/>
  <c r="AA16" i="1" s="1"/>
  <c r="N16" i="1"/>
  <c r="AD30" i="18"/>
  <c r="X6" i="18"/>
  <c r="L38" i="18"/>
  <c r="R30" i="18"/>
  <c r="AD14" i="18"/>
  <c r="X22" i="18"/>
  <c r="AJ6" i="18"/>
  <c r="L6" i="18"/>
  <c r="AD6" i="18"/>
  <c r="AD22" i="18"/>
  <c r="X38" i="18"/>
  <c r="R14" i="18"/>
  <c r="AD38" i="18"/>
  <c r="L14" i="18"/>
  <c r="R38" i="18"/>
  <c r="R6" i="18"/>
  <c r="AJ14" i="18"/>
  <c r="X14" i="18"/>
  <c r="X30" i="18"/>
  <c r="AJ38" i="18"/>
  <c r="R22" i="18"/>
  <c r="AJ30" i="18"/>
  <c r="AJ22" i="18"/>
  <c r="L22" i="18"/>
  <c r="L30" i="18"/>
  <c r="AB21" i="19" l="1"/>
  <c r="AC40" i="1"/>
  <c r="AB31" i="19"/>
  <c r="V31" i="19"/>
  <c r="V21" i="19"/>
  <c r="AH51" i="19"/>
  <c r="P31" i="19"/>
  <c r="AH41" i="19"/>
  <c r="AB51" i="19"/>
  <c r="AH21" i="19"/>
  <c r="AH31" i="19"/>
  <c r="AH11" i="19"/>
  <c r="J11" i="19"/>
  <c r="J31" i="19"/>
  <c r="P41" i="19"/>
  <c r="P21" i="19"/>
  <c r="AB11" i="19"/>
  <c r="V51" i="19"/>
  <c r="J41" i="19"/>
  <c r="V11" i="19"/>
  <c r="AB41" i="19"/>
  <c r="J21" i="19"/>
  <c r="V41" i="19"/>
  <c r="P51" i="19"/>
  <c r="J51" i="19"/>
  <c r="P11" i="19"/>
  <c r="P16" i="19"/>
  <c r="V26" i="19"/>
  <c r="P6" i="19"/>
  <c r="AH36" i="19"/>
  <c r="AH6" i="19"/>
  <c r="P26" i="19"/>
  <c r="V46" i="19"/>
  <c r="V16" i="19"/>
  <c r="AH46" i="19"/>
  <c r="V36" i="19"/>
  <c r="AB46" i="19"/>
  <c r="AC10" i="1"/>
  <c r="AB36" i="19"/>
  <c r="J6" i="19"/>
  <c r="AB6" i="19"/>
  <c r="P46" i="19"/>
  <c r="P36" i="19"/>
  <c r="AB26" i="19"/>
  <c r="J36" i="19"/>
  <c r="AH16" i="19"/>
  <c r="AB16" i="19"/>
  <c r="J26" i="19"/>
  <c r="AH26" i="19"/>
  <c r="V6" i="19"/>
  <c r="J16" i="19"/>
  <c r="J46" i="19"/>
  <c r="AC16" i="1"/>
  <c r="AH7" i="19"/>
  <c r="V47" i="19"/>
  <c r="V7" i="19"/>
  <c r="P17" i="19"/>
  <c r="AB17" i="19"/>
  <c r="P7" i="19"/>
  <c r="AB7" i="19"/>
  <c r="P47" i="19"/>
  <c r="J37" i="19"/>
  <c r="AH37" i="19"/>
  <c r="V17" i="19"/>
  <c r="J7" i="19"/>
  <c r="AH27" i="19"/>
  <c r="J47" i="19"/>
  <c r="AB27" i="19"/>
  <c r="AB37" i="19"/>
  <c r="P27" i="19"/>
  <c r="AH47" i="19"/>
  <c r="V37" i="19"/>
  <c r="AB47" i="19"/>
  <c r="V27" i="19"/>
  <c r="J17" i="19"/>
  <c r="J27" i="19"/>
  <c r="P37" i="19"/>
  <c r="AH17" i="19"/>
  <c r="AB28" i="19"/>
  <c r="V38" i="19"/>
  <c r="AH28" i="19"/>
  <c r="AB38" i="19"/>
  <c r="V48" i="19"/>
  <c r="P8" i="19"/>
  <c r="AC22" i="1"/>
  <c r="P38" i="19"/>
  <c r="AH38" i="19"/>
  <c r="AB18" i="19"/>
  <c r="J8" i="19"/>
  <c r="J18" i="19"/>
  <c r="P18" i="19"/>
  <c r="J48" i="19"/>
  <c r="V28" i="19"/>
  <c r="P28" i="19"/>
  <c r="P48" i="19"/>
  <c r="J28" i="19"/>
  <c r="AB8" i="19"/>
  <c r="AH8" i="19"/>
  <c r="AB48" i="19"/>
  <c r="V8" i="19"/>
  <c r="AH48" i="19"/>
  <c r="AH18" i="19"/>
  <c r="V18" i="19"/>
  <c r="J38" i="19"/>
  <c r="P42" i="19"/>
  <c r="AH12" i="19"/>
  <c r="AB12" i="19"/>
  <c r="V42" i="19"/>
  <c r="AH52" i="19"/>
  <c r="P52" i="19"/>
  <c r="AH32" i="19"/>
  <c r="AH22" i="19"/>
  <c r="V32" i="19"/>
  <c r="AB52" i="19"/>
  <c r="J52" i="19"/>
  <c r="P32" i="19"/>
  <c r="AB42" i="19"/>
  <c r="AB22" i="19"/>
  <c r="P12" i="19"/>
  <c r="J12" i="19"/>
  <c r="J22" i="19"/>
  <c r="J42" i="19"/>
  <c r="V12" i="19"/>
  <c r="J32" i="19"/>
  <c r="V22" i="19"/>
  <c r="AH42" i="19"/>
  <c r="AB32" i="19"/>
  <c r="V52" i="19"/>
  <c r="P22"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J39" i="19"/>
  <c r="P9" i="19"/>
  <c r="AH9" i="19"/>
  <c r="P29" i="19"/>
  <c r="J49" i="19"/>
  <c r="V19" i="19"/>
  <c r="J9" i="19"/>
  <c r="AB39" i="19"/>
  <c r="AB9" i="19"/>
  <c r="J29" i="19"/>
  <c r="AB49" i="19"/>
  <c r="AH19" i="19"/>
  <c r="AC28" i="1"/>
  <c r="P39" i="19"/>
  <c r="V29" i="19"/>
  <c r="P49" i="19"/>
  <c r="AB19" i="19"/>
  <c r="P19" i="19"/>
  <c r="V9" i="19"/>
  <c r="AH39" i="19"/>
  <c r="AH49" i="19"/>
  <c r="V39" i="19"/>
  <c r="J19" i="19"/>
  <c r="AB29" i="19"/>
  <c r="V49" i="19"/>
  <c r="AH29" i="19"/>
  <c r="V25" i="19"/>
  <c r="AH15" i="19"/>
  <c r="V45" i="19"/>
  <c r="V35" i="19"/>
  <c r="J15" i="19"/>
  <c r="J55" i="19"/>
  <c r="AB45" i="19"/>
  <c r="AH25" i="19"/>
  <c r="AB55" i="19"/>
  <c r="AH55" i="19"/>
  <c r="AC64" i="1"/>
  <c r="AB15" i="19"/>
  <c r="AB25" i="19"/>
  <c r="P15" i="19"/>
  <c r="P45" i="19"/>
  <c r="J45" i="19"/>
  <c r="V15" i="19"/>
  <c r="P25" i="19"/>
  <c r="J35" i="19"/>
  <c r="P35" i="19"/>
  <c r="AH45" i="19"/>
  <c r="AH35" i="19"/>
  <c r="J25" i="19"/>
  <c r="V55" i="19"/>
  <c r="AB35" i="19"/>
  <c r="P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<sst xmlns="http://schemas.openxmlformats.org/spreadsheetml/2006/main" count="435" uniqueCount="265">
  <si>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</si>
  <si>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</si>
  <si>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</si>
  <si>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</si>
  <si>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</si>
  <si>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</si>
  <si>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</si>
  <si>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</si>
  <si>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</si>
  <si>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</si>
  <si>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</si>
  <si>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</si>
  <si>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</si>
  <si>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</si>
  <si>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</si>
  <si>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</si>
  <si>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</si>
  <si>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</si>
  <si>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</si>
  <si>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</si>
  <si>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</si>
  <si>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</si>
  <si>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</si>
  <si>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</si>
  <si>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</si>
  <si>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</si>
  <si>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</si>
  <si>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</si>
  <si>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</si>
  <si>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</si>
  <si>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</si>
  <si>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</si>
  <si>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</si>
  <si>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</si>
  <si>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</si>
  <si>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</si>
  <si>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</si>
  <si>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</si>
  <si>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</si>
  <si>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</si>
  <si>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</si>
  <si>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</si>
  <si>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</si>
  <si>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</si>
  <si>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</si>
  <si>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</si>
  <si>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</si>
  <si>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</si>
  <si>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</si>
  <si>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</si>
  <si>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</si>
  <si>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</si>
  <si>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</si>
  <si>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</si>
  <si>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</si>
  <si>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</si>
  <si>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</si>
  <si>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</si>
  <si>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</si>
  <si>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</si>
  <si>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</si>
  <si>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</si>
  <si>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</si>
  <si>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</si>
  <si>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</si>
  <si>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</si>
  <si>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</si>
  <si>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</si>
  <si>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</si>
  <si>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</si>
  <si>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</si>
  <si>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</si>
  <si>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</si>
  <si>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</si>
  <si>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</si>
  <si>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</si>
  <si>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</si>
  <si>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</si>
  <si>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</si>
  <si>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</si>
  <si>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</si>
  <si>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</si>
  <si>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</si>
  <si>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</si>
  <si>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</si>
  <si>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</si>
  <si>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</si>
  <si>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</si>
  <si>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</si>
  <si>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</si>
  <si>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</si>
  <si>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</si>
  <si>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</si>
  <si>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</si>
  <si>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</si>
  <si>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</si>
  <si>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</si>
  <si>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</si>
  <si>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</si>
  <si>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</si>
  <si>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</si>
  <si>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</si>
  <si>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</si>
  <si>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</si>
  <si>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</si>
  <si>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</si>
  <si>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</si>
  <si>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</si>
  <si>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</si>
  <si>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</si>
  <si>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</si>
  <si>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</si>
  <si>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</si>
  <si>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</si>
  <si>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</si>
  <si>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</si>
  <si>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</si>
  <si>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</si>
  <si>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</si>
  <si>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</si>
  <si>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</si>
  <si>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</si>
  <si>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</si>
  <si>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</si>
  <si>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</si>
  <si>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</si>
  <si>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</si>
  <si>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</si>
  <si>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</si>
  <si>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</si>
  <si>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</si>
  <si>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</si>
  <si>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</si>
  <si>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</si>
  <si>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</si>
  <si>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</si>
  <si>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</si>
  <si>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</si>
  <si>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</si>
  <si>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</si>
  <si>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</si>
  <si>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</si>
  <si>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</si>
  <si>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</si>
  <si>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</si>
  <si>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</si>
  <si>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</si>
  <si>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</si>
  <si>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</si>
  <si>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</si>
  <si>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</si>
  <si>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</si>
  <si>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</si>
  <si>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</si>
  <si>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</si>
  <si>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</si>
  <si>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</si>
  <si>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</si>
  <si>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</si>
  <si>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</si>
  <si>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</si>
  <si>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</si>
  <si>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</si>
  <si>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</si>
  <si>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</si>
  <si>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</si>
  <si>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</si>
  <si>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</si>
  <si>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</si>
  <si>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</si>
  <si>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</si>
  <si>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</si>
  <si>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</si>
  <si>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</si>
  <si>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</si>
  <si>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</si>
  <si>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</si>
  <si>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</si>
  <si>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</si>
  <si>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</si>
  <si>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</si>
  <si>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</si>
  <si>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</si>
  <si>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</si>
  <si>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</si>
  <si>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</si>
  <si>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</si>
  <si>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</si>
  <si>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</si>
  <si>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</si>
  <si>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</si>
  <si>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</si>
  <si>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</si>
  <si>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</si>
  <si>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</si>
  <si>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</si>
  <si>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</si>
  <si>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</si>
  <si>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</si>
  <si>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</si>
  <si>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</si>
  <si>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</si>
  <si>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</si>
  <si>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</si>
  <si>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</si>
  <si>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</si>
  <si>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</si>
  <si>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</si>
  <si>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</si>
  <si>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</si>
  <si>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</si>
  <si>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</si>
  <si>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</si>
  <si>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</si>
  <si>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agosto 31 / 2021</t>
  </si>
  <si>
    <t>El líder del proceso responsable deberá presentar informe a la oficina de Control Interno de acuerdo al control descrito y al plan de acción teniendo en cuenta la fecha de seguimiento.</t>
  </si>
  <si>
    <t>Cuatrimestral</t>
  </si>
  <si>
    <t>Incluir beneficiarios que no cumplen con los requisitos habilitantes para la entrega de los programa del Instituto de acuerdo al procedimiento establecido.</t>
  </si>
  <si>
    <t xml:space="preserve">Falta de un Plan de Acción bien estructurado que se entreguen los recursos de los programas Sociales de manera adecuada a la población que no cumple los requisitos. </t>
  </si>
  <si>
    <t xml:space="preserve">Posibilidad de afectación economica y  reputacional causada por  la entrega inadecuada de Programas Sociales del IDM, sabiendo que existen presiones indebidas sobre los funcionarios responsables del manejo de información y de los mismos programas los cuales destinan dicho beneficio a aquella población no caracterizada y que no requiere del mismo.  </t>
  </si>
  <si>
    <t>Gestión Vivienda, urbanismo y Obras de Interes Publico</t>
  </si>
  <si>
    <t>Mejorar las condiciones habitacionales de la población , a través de la entrega de subsidios para la adquisición, construcción y/ o mejoramiento de vivienda, legalización de terrenos, construcción de obras de urbanismo y/o  infraestructura,  que propendan por el mejoramiento de la calidad de vida de los habitantes del Municipio de Dosquebradas.</t>
  </si>
  <si>
    <t xml:space="preserve">Inicia con la necesidad de establecer un plan Vivienda, urbanismo y Obras de Interes Publico,  el cual es responsabilidad de la institución y está coordinado por la Dirección General de la entidad. </t>
  </si>
  <si>
    <t xml:space="preserve">El Director General o quien él delegue será responsable de  hacer verificación y evaluación de los documentos soporte de acuerdo a los requisitos habilitantes que aportan los posibles beneficiarios de los programas que ofrece el Instituto, así como también la manera en  que se hace la entrega de los mismos, a cada beneficiario realizando visitas que permitan verificar la exactitud, lo verosimil y constancia de la misma. </t>
  </si>
  <si>
    <t xml:space="preserve">El Director General o quien él delegue realiará seguimiento del plan con base en la forma  de aplicar  y dar  cumplimiento a la normatividad y procedimientos vigentes  teniendo en cuenta las entregas que deben de hacerse de acuerdo a los diferentes programas sociales que asigna el Instituto. </t>
  </si>
  <si>
    <t>Director General, Subdirector Técnico y Equipo de trabajo.</t>
  </si>
  <si>
    <t>Falta de  capacitación y actualizacion permanente por parte de los funcionarios del Instituto en la normatividad vigente para la elaboración y presentación de proyectos a nivel nacional.</t>
  </si>
  <si>
    <t xml:space="preserve">No viabilización y asignación de recursos por parte del Gobierno central para que se puedan ejecutar los Planes de Desarrollo y  Plan de Acción, para  todo  proyecto que se  presente por la Institución.  </t>
  </si>
  <si>
    <t xml:space="preserve">Posibilidad de afectación económica por la no presentación  de proyectos a nivel nacional con los lineamientos y normatividad vigente por fallas técnicas en la plataforma que impiden que estos  se ejecuten. </t>
  </si>
  <si>
    <t xml:space="preserve">El Subdirector Técnico  o quien él delegue  ejercerá control con respecto a la revisión permanente de las plataformas existentes y de los requisitos para la presentación de proyectos a nivel nacional. </t>
  </si>
  <si>
    <t>impacto</t>
  </si>
  <si>
    <t xml:space="preserve">El Subdirector Técnico  o quien delegue deberá realizar capacitaciones y actualizaciones permanentes para los funcionarios responsables de la presentacion de proyectos nacionales de acuerdo a las nuevas metodologías del DNP.     </t>
  </si>
  <si>
    <t>Subdirector Técnico</t>
  </si>
  <si>
    <t>Falta de un correcto y completo análisis de las propuestas de conformidad con los estudios previos</t>
  </si>
  <si>
    <t>Retrasos o inejecución de las obras o terminación de obras sin el cumplimiento de las condiciones técnicas exigidas.</t>
  </si>
  <si>
    <t xml:space="preserve">Posibilidad de afectación economica y reputacional por la selección y contratación de personal  el cual es sin la Idoneidad y experticia técnica  para la ejecución de los proyectos misionales del Instituto.               </t>
  </si>
  <si>
    <t>El Subdirector Técnico o quien él delegue  hará  un adecuado y oportuno control periodico, conforme se den la ejecuciones  de los contratos misionales del instituto.</t>
  </si>
  <si>
    <t xml:space="preserve">El Subdirector Técnico o quien delegue periodicamente hará una planificación y estructuración adecuada del análisis del sector y de los estudios previos solicitados para ejecutar los diferentes proyectos misionales de la entidad.   </t>
  </si>
  <si>
    <t xml:space="preserve">Conforme a la  implementación de los proyectos se implementrá la fecha para darseguimiento indicado en el plan de acción.  </t>
  </si>
  <si>
    <t xml:space="preserve">Conforme a la fecha que se logre entregar y  ejecutar el proyecto se hará seguimiento. </t>
  </si>
  <si>
    <t xml:space="preserve">La fecha de implementación estará indicada  de acuerdo al presupuesto recibido por la institución, con el fin de dar cumplimiento a la asignación de lotes.   </t>
  </si>
  <si>
    <t>El Subdirector Técnico  oquien el delegue  periodicamnete realizará revisión de las Actas de compromiso de cerramiento de lotes con el fin de evitar que el riesgo logre materializarse.</t>
  </si>
  <si>
    <t>Falta de seguimiento a las Actas de compromiso firmadas por los propietarios de los lotes.</t>
  </si>
  <si>
    <t>Generación de inseguridad  e insalubridad en los sectores  donde se encuentran ubicados los lotes, adicionalmente se pueden presentar invasiones por la falta de cerramiento de los lotes.</t>
  </si>
  <si>
    <t>Posibilidad de afectación económico y reputacional por la falta de conocimiento de la Normatividad conforme al alcance de la misma según el Acuerdo Municipal 021 de 2002, para el cerramiento de lotes, así como también por  falta de seguimiento a las Actas de compromiso firmadas por los propietarios de los lotes.</t>
  </si>
  <si>
    <t>Uso de materiales de baja calidad e inicorrecta instalación o menores cantidades.</t>
  </si>
  <si>
    <t>Detrimento patrimonial</t>
  </si>
  <si>
    <t>Posibilidad de afectación economica y reputacional causado por la incorrecta  ejecución de obras de mejoramiento por parte del contratista seleccionado.</t>
  </si>
  <si>
    <t xml:space="preserve">Supervisor delegado de cada contrato de la subdirección Técnica a traves de los formatos establecidos por el IDM y sus procedimientos permiirán establecer un control que logre mitigar el riesgo. </t>
  </si>
  <si>
    <t>Supervisor delegado por la Subdirección Técnica</t>
  </si>
  <si>
    <t>El Subdirector Técnico conforme a sus controles determinará un plan permanente que permita dar cumplimiento al acuerdo 021.</t>
  </si>
  <si>
    <t xml:space="preserve">La subdirección Técnica establecera un control que facilite el control de acuerdo a las ejecuciones de obras para que no se altere su consecución en términos de los procedimientos y cumplimiento  conforme a la mano de obra que se tenga. </t>
  </si>
  <si>
    <t xml:space="preserve">La fecha de implementación estará dado por la iniciación del contrato.  </t>
  </si>
  <si>
    <t>Falta de planeación para la elaboración de los presupuestos de mejoramiento.</t>
  </si>
  <si>
    <t>Falta de control con los costos adicionales los cuales no se tenian contemplados dentro del plan presupuestal lo que conlleva a ejecuciones inconclusas de los mejoramientos de vivienda.</t>
  </si>
  <si>
    <t>Posibilidad de afectación economica causados por Presupuestos de mejoramientos de vivienda mal elaborados, que involucran el mal proceso para la obtención de los requisitos técnicos y financieros, así como también por la no asignación de recursos por parte de entidades del orden nacional que permitan ejecutar proyectos de mejoramiento de vivienda en el Municipio.</t>
  </si>
  <si>
    <t xml:space="preserve">El Subdirector Técnico  implementará un cronograma  que permita ejercer control, y que a la ve permita hacer verificación de las actas que se recepcionan por parte de obra en cuanto al  mejoramiento de vivienda para los beneficiarios; así como también  revisar  previamente los presupuestos de mejoramiento presentados en lo referente a cantidades y lista oficial de precios.  </t>
  </si>
  <si>
    <t xml:space="preserve">El subdirector Técnico o quien él delegue periodicamente y de acuerdo al plan que se implemnete  realiará un diagnostico técnico previo dado en  la etapa de preconstruccion para el mejoramiento de viviendas.  </t>
  </si>
  <si>
    <t xml:space="preserve">                       Elaboró:  Jhannier Jhoan Jaramillo Tabima - Contratista de Apoyo</t>
  </si>
  <si>
    <t>Aprobó:  Luis Ernesto Ramirez Valencia -Director General</t>
  </si>
  <si>
    <t>Revisó: Rigoberto Lopera - Líder del Proceso</t>
  </si>
  <si>
    <t>MAPA DE RIESGOS</t>
  </si>
  <si>
    <t xml:space="preserve">VERSION 5 </t>
  </si>
  <si>
    <t>DICIEMBRE DE 2021</t>
  </si>
  <si>
    <t>VIVIENDA, URBANISMO Y OBRAS DE INTERES PUBLICO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</si>
</sst>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2"/>
      <name val="Arial Narrow"/>
      <family val="2"/>
    </font>
    <font>
      <sz val="12"/>
      <name val="Arial"/>
      <family val="2"/>
    </font>
    <font>
      <sz val="11"/>
      <color theme="1"/>
      <name val="Arial"/>
      <family val="2"/>
    </font>
    <font>
      <sz val="11"/>
      <name val="Arial"/>
      <family val="2"/>
    </font>
    <font>
      <sz val="18"/>
      <color theme="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9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dashed">
        <color theme="9" tint="-0.24994659260841701"/>
      </right>
      <top/>
      <bottom/>
      <diagonal/>
    </border>
    <border>
      <left style="thin">
        <color rgb="FF000000"/>
      </left>
      <right style="thin">
        <color rgb="FF000000"/>
      </right>
      <top/>
      <bottom/>
      <diagonal/>
    </border>
    <border>
      <left style="dashed">
        <color theme="9" tint="-0.24994659260841701"/>
      </left>
      <right style="dashed">
        <color theme="9" tint="-0.24994659260841701"/>
      </right>
      <top/>
      <bottom style="thin">
        <color indexed="64"/>
      </bottom>
      <diagonal/>
    </border>
    <border>
      <left style="thin">
        <color indexed="64"/>
      </left>
      <right style="dashed">
        <color theme="9" tint="-0.24994659260841701"/>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dashed">
        <color theme="9" tint="-0.2499465926084170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5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Fill="1" applyAlignment="1">
      <alignment vertical="center"/>
    </xf>
    <xf numFmtId="0" fontId="29" fillId="0" borderId="0" xfId="0" applyFont="1" applyFill="1"/>
    <xf numFmtId="0" fontId="27" fillId="0" borderId="0" xfId="0" applyFont="1"/>
    <xf numFmtId="0" fontId="0" fillId="0" borderId="0" xfId="0" pivotButton="1"/>
    <xf numFmtId="0" fontId="12" fillId="0" borderId="0" xfId="0" applyFont="1" applyBorder="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applyProtection="1"/>
    <xf numFmtId="0" fontId="49" fillId="3" borderId="52" xfId="2" applyFont="1" applyFill="1" applyBorder="1" applyProtection="1"/>
    <xf numFmtId="0" fontId="49" fillId="3" borderId="53" xfId="2" applyFont="1" applyFill="1" applyBorder="1" applyProtection="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4" xfId="2" applyFont="1" applyFill="1" applyBorder="1" applyProtection="1"/>
    <xf numFmtId="0" fontId="54" fillId="3" borderId="0" xfId="0" applyFont="1" applyFill="1" applyBorder="1" applyAlignment="1" applyProtection="1">
      <alignment horizontal="left" vertical="center" wrapText="1"/>
    </xf>
    <xf numFmtId="0" fontId="55" fillId="3" borderId="0" xfId="0" applyFont="1" applyFill="1" applyBorder="1" applyAlignment="1" applyProtection="1">
      <alignment horizontal="left" vertical="top" wrapText="1"/>
    </xf>
    <xf numFmtId="0" fontId="49" fillId="3" borderId="0" xfId="2" applyFont="1" applyFill="1" applyBorder="1" applyProtection="1"/>
    <xf numFmtId="0" fontId="49" fillId="3" borderId="15" xfId="2" applyFont="1" applyFill="1" applyBorder="1" applyProtection="1"/>
    <xf numFmtId="0" fontId="49" fillId="3" borderId="16" xfId="2" applyFont="1" applyFill="1" applyBorder="1" applyProtection="1"/>
    <xf numFmtId="0" fontId="49" fillId="3" borderId="18" xfId="2" applyFont="1" applyFill="1" applyBorder="1" applyProtection="1"/>
    <xf numFmtId="0" fontId="49" fillId="3" borderId="17" xfId="2" applyFont="1" applyFill="1" applyBorder="1" applyProtection="1"/>
    <xf numFmtId="0" fontId="53" fillId="3" borderId="0" xfId="2" applyFont="1" applyFill="1" applyBorder="1" applyAlignment="1" applyProtection="1">
      <alignment horizontal="left" vertical="center" wrapText="1"/>
    </xf>
    <xf numFmtId="0" fontId="49" fillId="3" borderId="0" xfId="2" applyFont="1" applyFill="1" applyBorder="1" applyAlignment="1" applyProtection="1">
      <alignment horizontal="left" vertical="center" wrapText="1"/>
    </xf>
    <xf numFmtId="0" fontId="49" fillId="3" borderId="0" xfId="2" quotePrefix="1" applyFont="1" applyFill="1" applyBorder="1" applyAlignment="1" applyProtection="1">
      <alignment horizontal="left" vertical="center" wrapText="1"/>
    </xf>
    <xf numFmtId="0" fontId="49" fillId="3" borderId="15" xfId="2" applyFont="1" applyFill="1" applyBorder="1" applyAlignment="1" applyProtection="1"/>
    <xf numFmtId="0" fontId="51" fillId="3" borderId="14" xfId="2" quotePrefix="1" applyFont="1" applyFill="1" applyBorder="1" applyAlignment="1" applyProtection="1">
      <alignment horizontal="left" vertical="top" wrapText="1"/>
    </xf>
    <xf numFmtId="0" fontId="52" fillId="3" borderId="0" xfId="2" quotePrefix="1" applyFont="1" applyFill="1" applyBorder="1" applyAlignment="1" applyProtection="1">
      <alignment horizontal="left" vertical="top" wrapText="1"/>
    </xf>
    <xf numFmtId="0" fontId="52"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4"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35" fillId="0" borderId="75" xfId="0" applyFont="1" applyBorder="1" applyAlignment="1" applyProtection="1">
      <alignment horizontal="center" vertical="center" wrapText="1"/>
      <protection locked="0"/>
    </xf>
    <xf numFmtId="0" fontId="58" fillId="0" borderId="75" xfId="0" applyFont="1" applyBorder="1" applyAlignment="1" applyProtection="1">
      <alignment horizontal="center" vertical="center" wrapText="1"/>
      <protection locked="0"/>
    </xf>
    <xf numFmtId="0" fontId="35" fillId="0" borderId="76"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8" xfId="0" applyFont="1" applyBorder="1" applyAlignment="1" applyProtection="1">
      <alignment vertical="center"/>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8" xfId="0" applyFont="1" applyFill="1" applyBorder="1" applyAlignment="1" applyProtection="1">
      <alignment vertical="top" wrapText="1"/>
      <protection hidden="1"/>
    </xf>
    <xf numFmtId="0" fontId="4" fillId="0" borderId="5" xfId="0" applyFont="1" applyFill="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6" fillId="0" borderId="5" xfId="0" applyFont="1" applyBorder="1" applyAlignment="1" applyProtection="1">
      <alignment horizontal="justify" vertical="top" wrapText="1"/>
      <protection locked="0"/>
    </xf>
    <xf numFmtId="0" fontId="1" fillId="0" borderId="5" xfId="0" applyFont="1" applyBorder="1" applyAlignment="1" applyProtection="1">
      <alignment horizontal="center" vertical="top"/>
      <protection hidden="1"/>
    </xf>
    <xf numFmtId="0" fontId="1" fillId="0" borderId="5" xfId="0" applyFont="1" applyBorder="1" applyAlignment="1" applyProtection="1">
      <alignment horizontal="center" vertical="top" textRotation="90"/>
      <protection locked="0"/>
    </xf>
    <xf numFmtId="9" fontId="1" fillId="0" borderId="5" xfId="0" applyNumberFormat="1" applyFont="1" applyBorder="1" applyAlignment="1" applyProtection="1">
      <alignment horizontal="center" vertical="top"/>
      <protection hidden="1"/>
    </xf>
    <xf numFmtId="164" fontId="1" fillId="0" borderId="5" xfId="1" applyNumberFormat="1" applyFont="1" applyBorder="1" applyAlignment="1">
      <alignment horizontal="center" vertical="top"/>
    </xf>
    <xf numFmtId="0" fontId="4" fillId="0" borderId="5" xfId="0" applyFont="1" applyFill="1" applyBorder="1" applyAlignment="1" applyProtection="1">
      <alignment horizontal="center" vertical="top" textRotation="90" wrapText="1"/>
      <protection hidden="1"/>
    </xf>
    <xf numFmtId="9" fontId="1" fillId="0" borderId="8" xfId="0" applyNumberFormat="1" applyFont="1" applyBorder="1" applyAlignment="1" applyProtection="1">
      <alignment horizontal="center" vertical="top"/>
      <protection hidden="1"/>
    </xf>
    <xf numFmtId="0" fontId="4" fillId="0" borderId="5" xfId="0" applyFont="1" applyBorder="1" applyAlignment="1" applyProtection="1">
      <alignment horizontal="center" vertical="top" textRotation="90"/>
      <protection hidden="1"/>
    </xf>
    <xf numFmtId="0" fontId="1" fillId="0" borderId="8" xfId="0" applyFont="1" applyBorder="1" applyAlignment="1" applyProtection="1">
      <alignment horizontal="center" vertical="top" textRotation="90"/>
      <protection locked="0"/>
    </xf>
    <xf numFmtId="14" fontId="1" fillId="0" borderId="5" xfId="0" applyNumberFormat="1" applyFont="1" applyBorder="1" applyAlignment="1" applyProtection="1">
      <alignment horizontal="center" vertical="top"/>
      <protection locked="0"/>
    </xf>
    <xf numFmtId="0" fontId="1" fillId="0" borderId="33" xfId="0" applyFont="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14" fontId="1" fillId="0" borderId="33" xfId="0" applyNumberFormat="1" applyFont="1" applyBorder="1" applyAlignment="1" applyProtection="1">
      <alignment horizontal="center" vertical="center"/>
      <protection locked="0"/>
    </xf>
    <xf numFmtId="0" fontId="1" fillId="0" borderId="33" xfId="0" applyFont="1" applyBorder="1" applyAlignment="1" applyProtection="1">
      <alignment horizontal="center" vertical="center"/>
    </xf>
    <xf numFmtId="0" fontId="1"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textRotation="90"/>
      <protection locked="0"/>
    </xf>
    <xf numFmtId="9" fontId="1" fillId="0" borderId="33" xfId="0" applyNumberFormat="1" applyFont="1" applyBorder="1" applyAlignment="1" applyProtection="1">
      <alignment horizontal="center" vertical="center"/>
      <protection hidden="1"/>
    </xf>
    <xf numFmtId="164" fontId="1" fillId="0" borderId="33" xfId="1" applyNumberFormat="1" applyFont="1" applyBorder="1" applyAlignment="1">
      <alignment horizontal="center" vertical="center"/>
    </xf>
    <xf numFmtId="0" fontId="4" fillId="0" borderId="33" xfId="0" applyFont="1" applyFill="1" applyBorder="1" applyAlignment="1" applyProtection="1">
      <alignment horizontal="center" vertical="center" textRotation="90" wrapText="1"/>
      <protection hidden="1"/>
    </xf>
    <xf numFmtId="0" fontId="4" fillId="0" borderId="33" xfId="0" applyFont="1" applyBorder="1" applyAlignment="1" applyProtection="1">
      <alignment horizontal="center" vertical="center" textRotation="90"/>
      <protection hidden="1"/>
    </xf>
    <xf numFmtId="0" fontId="1" fillId="0" borderId="33" xfId="0" applyFont="1" applyBorder="1" applyAlignment="1" applyProtection="1">
      <alignment horizontal="center" vertical="center"/>
      <protection locked="0"/>
    </xf>
    <xf numFmtId="0" fontId="4" fillId="0" borderId="33" xfId="0" applyFont="1" applyFill="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hidden="1"/>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59" fillId="0" borderId="7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0" borderId="8" xfId="0" applyFont="1" applyFill="1" applyBorder="1" applyAlignment="1" applyProtection="1">
      <alignment vertical="center" wrapText="1"/>
      <protection hidden="1"/>
    </xf>
    <xf numFmtId="9" fontId="1" fillId="0" borderId="8" xfId="0" applyNumberFormat="1" applyFont="1" applyBorder="1" applyAlignment="1" applyProtection="1">
      <alignment vertical="center" wrapText="1"/>
      <protection hidden="1"/>
    </xf>
    <xf numFmtId="9" fontId="1" fillId="0" borderId="8" xfId="0" applyNumberFormat="1" applyFont="1" applyBorder="1" applyAlignment="1" applyProtection="1">
      <alignment vertical="center" wrapText="1"/>
      <protection locked="0"/>
    </xf>
    <xf numFmtId="0" fontId="35" fillId="0" borderId="76" xfId="0" applyFont="1" applyBorder="1" applyAlignment="1" applyProtection="1">
      <alignment vertical="center" wrapText="1"/>
      <protection locked="0"/>
    </xf>
    <xf numFmtId="0" fontId="4" fillId="0" borderId="8" xfId="0" applyFont="1" applyBorder="1" applyAlignment="1" applyProtection="1">
      <alignment vertical="center"/>
      <protection hidden="1"/>
    </xf>
    <xf numFmtId="0" fontId="1" fillId="0" borderId="8" xfId="0" applyFont="1" applyBorder="1" applyAlignment="1" applyProtection="1">
      <alignment vertical="top" wrapText="1"/>
    </xf>
    <xf numFmtId="0" fontId="58" fillId="0" borderId="76" xfId="0" applyFont="1" applyBorder="1" applyAlignment="1" applyProtection="1">
      <alignment horizontal="center" vertical="center" wrapText="1"/>
      <protection locked="0"/>
    </xf>
    <xf numFmtId="0" fontId="35" fillId="0" borderId="80" xfId="0" applyFont="1" applyBorder="1" applyAlignment="1" applyProtection="1">
      <alignment vertical="center" wrapText="1"/>
      <protection locked="0"/>
    </xf>
    <xf numFmtId="0" fontId="1" fillId="0" borderId="33" xfId="0" applyFont="1" applyBorder="1" applyAlignment="1" applyProtection="1">
      <alignment horizontal="center" vertical="center" wrapText="1"/>
      <protection locked="0"/>
    </xf>
    <xf numFmtId="0" fontId="6" fillId="0" borderId="4" xfId="0" applyFont="1" applyBorder="1" applyAlignment="1" applyProtection="1">
      <alignment horizontal="justify" vertical="top" wrapText="1"/>
      <protection locked="0"/>
    </xf>
    <xf numFmtId="0" fontId="1" fillId="0" borderId="4" xfId="0" applyFont="1" applyBorder="1" applyAlignment="1" applyProtection="1">
      <alignment horizontal="center" vertical="top"/>
      <protection hidden="1"/>
    </xf>
    <xf numFmtId="164" fontId="1" fillId="0" borderId="4" xfId="1" applyNumberFormat="1" applyFont="1" applyBorder="1" applyAlignment="1">
      <alignment horizontal="center" vertical="top"/>
    </xf>
    <xf numFmtId="0" fontId="4" fillId="0" borderId="4" xfId="0" applyFont="1" applyFill="1" applyBorder="1" applyAlignment="1" applyProtection="1">
      <alignment horizontal="center" vertical="top" textRotation="90" wrapText="1"/>
      <protection hidden="1"/>
    </xf>
    <xf numFmtId="0" fontId="4" fillId="0" borderId="4" xfId="0" applyFont="1" applyBorder="1" applyAlignment="1" applyProtection="1">
      <alignment horizontal="center" vertical="top" textRotation="90"/>
      <protection hidden="1"/>
    </xf>
    <xf numFmtId="14" fontId="1" fillId="0" borderId="4" xfId="0" applyNumberFormat="1" applyFont="1" applyBorder="1" applyAlignment="1" applyProtection="1">
      <alignment horizontal="center" vertical="top"/>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59" fillId="0" borderId="80" xfId="0" applyFont="1" applyBorder="1" applyAlignment="1" applyProtection="1">
      <alignment vertical="center"/>
      <protection locked="0"/>
    </xf>
    <xf numFmtId="0" fontId="6" fillId="0" borderId="4" xfId="0" applyFont="1" applyBorder="1" applyAlignment="1" applyProtection="1">
      <alignment horizontal="justify" vertical="center" wrapText="1"/>
      <protection locked="0"/>
    </xf>
    <xf numFmtId="0" fontId="1" fillId="0" borderId="34" xfId="0" applyFont="1" applyBorder="1" applyAlignment="1" applyProtection="1">
      <alignment vertical="center" wrapText="1"/>
      <protection locked="0"/>
    </xf>
    <xf numFmtId="14" fontId="1" fillId="0" borderId="34" xfId="0" applyNumberFormat="1" applyFont="1" applyBorder="1" applyAlignment="1" applyProtection="1">
      <alignment vertical="center"/>
      <protection locked="0"/>
    </xf>
    <xf numFmtId="0" fontId="1" fillId="0" borderId="8" xfId="0" applyFont="1" applyBorder="1" applyAlignment="1" applyProtection="1">
      <alignment vertical="top"/>
    </xf>
    <xf numFmtId="0" fontId="1" fillId="0" borderId="5" xfId="0" applyFont="1" applyBorder="1" applyAlignment="1" applyProtection="1">
      <alignment vertical="top"/>
    </xf>
    <xf numFmtId="0" fontId="6" fillId="0" borderId="33" xfId="0" applyFont="1" applyBorder="1" applyAlignment="1" applyProtection="1">
      <alignment horizontal="center" vertical="center" wrapText="1"/>
      <protection locked="0"/>
    </xf>
    <xf numFmtId="0" fontId="1" fillId="0" borderId="79" xfId="0" applyFont="1" applyBorder="1" applyAlignment="1" applyProtection="1">
      <alignment vertical="center" wrapText="1"/>
      <protection locked="0"/>
    </xf>
    <xf numFmtId="0" fontId="1" fillId="0" borderId="34" xfId="0" applyFont="1" applyBorder="1" applyAlignment="1" applyProtection="1">
      <alignment vertical="center"/>
    </xf>
    <xf numFmtId="0" fontId="1" fillId="0" borderId="33" xfId="0" applyFont="1" applyBorder="1" applyAlignment="1" applyProtection="1">
      <alignment horizontal="center" vertical="center" wrapText="1"/>
      <protection locked="0"/>
    </xf>
    <xf numFmtId="0" fontId="1" fillId="0" borderId="78" xfId="0" applyFont="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hidden="1"/>
    </xf>
    <xf numFmtId="9" fontId="1" fillId="0" borderId="34" xfId="0" applyNumberFormat="1" applyFont="1" applyBorder="1" applyAlignment="1" applyProtection="1">
      <alignment horizontal="center" vertical="center" wrapText="1"/>
      <protection hidden="1"/>
    </xf>
    <xf numFmtId="0" fontId="4" fillId="0" borderId="34" xfId="0" applyFont="1" applyBorder="1" applyAlignment="1" applyProtection="1">
      <alignment horizontal="center" vertical="center"/>
      <protection hidden="1"/>
    </xf>
    <xf numFmtId="0" fontId="1" fillId="0" borderId="5" xfId="0" applyFont="1" applyBorder="1" applyAlignment="1" applyProtection="1">
      <alignment horizontal="center" vertical="top"/>
      <protection locked="0"/>
    </xf>
    <xf numFmtId="0" fontId="1" fillId="0" borderId="81" xfId="0" applyFont="1" applyBorder="1" applyAlignment="1" applyProtection="1">
      <alignment vertical="center" wrapText="1"/>
      <protection locked="0"/>
    </xf>
    <xf numFmtId="0" fontId="1" fillId="3" borderId="81" xfId="0" applyFont="1" applyFill="1" applyBorder="1" applyAlignment="1" applyProtection="1">
      <alignment vertical="center" wrapText="1"/>
      <protection locked="0"/>
    </xf>
    <xf numFmtId="0" fontId="1" fillId="0" borderId="82" xfId="0" applyFont="1" applyBorder="1" applyAlignment="1" applyProtection="1">
      <alignment vertical="center" wrapText="1"/>
      <protection locked="0"/>
    </xf>
    <xf numFmtId="0" fontId="4" fillId="2" borderId="4" xfId="0" applyFont="1" applyFill="1" applyBorder="1" applyAlignment="1">
      <alignment horizontal="center" vertical="center" textRotation="90"/>
    </xf>
    <xf numFmtId="0" fontId="2" fillId="3" borderId="83" xfId="0" applyFont="1" applyFill="1" applyBorder="1" applyAlignment="1" applyProtection="1">
      <alignment vertical="center" wrapText="1"/>
      <protection locked="0"/>
    </xf>
    <xf numFmtId="0" fontId="1" fillId="0" borderId="33" xfId="0" applyFont="1" applyBorder="1" applyAlignment="1" applyProtection="1">
      <alignment vertical="center" wrapText="1"/>
      <protection locked="0"/>
    </xf>
    <xf numFmtId="0" fontId="1" fillId="3" borderId="33" xfId="0" applyFont="1" applyFill="1" applyBorder="1" applyAlignment="1" applyProtection="1">
      <alignment vertical="center" wrapText="1"/>
      <protection locked="0"/>
    </xf>
    <xf numFmtId="0" fontId="1" fillId="0" borderId="33" xfId="0" applyFont="1" applyBorder="1" applyAlignment="1" applyProtection="1">
      <alignment horizontal="center" vertical="top"/>
    </xf>
    <xf numFmtId="0" fontId="1" fillId="0" borderId="33" xfId="0" applyFont="1" applyBorder="1" applyAlignment="1" applyProtection="1">
      <alignment horizontal="center" vertical="top"/>
      <protection hidden="1"/>
    </xf>
    <xf numFmtId="0" fontId="1" fillId="0" borderId="33" xfId="0" applyFont="1" applyBorder="1" applyAlignment="1" applyProtection="1">
      <alignment horizontal="center" vertical="top" textRotation="90"/>
      <protection locked="0"/>
    </xf>
    <xf numFmtId="9" fontId="1" fillId="0" borderId="33" xfId="0" applyNumberFormat="1" applyFont="1" applyBorder="1" applyAlignment="1" applyProtection="1">
      <alignment horizontal="center" vertical="top"/>
      <protection hidden="1"/>
    </xf>
    <xf numFmtId="164" fontId="1" fillId="9" borderId="33" xfId="1" applyNumberFormat="1" applyFont="1" applyFill="1" applyBorder="1" applyAlignment="1">
      <alignment horizontal="center" vertical="top"/>
    </xf>
    <xf numFmtId="0" fontId="4" fillId="0" borderId="33" xfId="0" applyFont="1" applyFill="1" applyBorder="1" applyAlignment="1" applyProtection="1">
      <alignment horizontal="center" vertical="top" textRotation="90" wrapText="1"/>
      <protection hidden="1"/>
    </xf>
    <xf numFmtId="0" fontId="4" fillId="0" borderId="33" xfId="0" applyFont="1" applyBorder="1" applyAlignment="1" applyProtection="1">
      <alignment horizontal="center" vertical="top" textRotation="90"/>
      <protection hidden="1"/>
    </xf>
    <xf numFmtId="0" fontId="1" fillId="0" borderId="33" xfId="0" applyFont="1" applyBorder="1" applyAlignment="1" applyProtection="1">
      <alignment horizontal="center" vertical="top"/>
      <protection locked="0"/>
    </xf>
    <xf numFmtId="164" fontId="1" fillId="0" borderId="33" xfId="1" applyNumberFormat="1" applyFont="1" applyBorder="1" applyAlignment="1">
      <alignment horizontal="center" vertical="top"/>
    </xf>
    <xf numFmtId="0" fontId="1" fillId="0" borderId="33" xfId="0" applyFont="1" applyBorder="1" applyAlignment="1" applyProtection="1">
      <alignment horizontal="center" vertical="top" wrapText="1"/>
      <protection locked="0"/>
    </xf>
    <xf numFmtId="14" fontId="1" fillId="0" borderId="33" xfId="0" applyNumberFormat="1" applyFont="1" applyBorder="1" applyAlignment="1" applyProtection="1">
      <alignment horizontal="center" vertical="top"/>
      <protection locked="0"/>
    </xf>
    <xf numFmtId="0" fontId="4" fillId="0" borderId="33" xfId="0" applyFont="1" applyFill="1" applyBorder="1" applyAlignment="1" applyProtection="1">
      <alignment horizontal="center" vertical="top" wrapText="1"/>
      <protection hidden="1"/>
    </xf>
    <xf numFmtId="9" fontId="1" fillId="0" borderId="33" xfId="0" applyNumberFormat="1" applyFont="1" applyBorder="1" applyAlignment="1" applyProtection="1">
      <alignment horizontal="center" vertical="top" wrapText="1"/>
      <protection hidden="1"/>
    </xf>
    <xf numFmtId="9" fontId="1" fillId="0" borderId="33" xfId="0" applyNumberFormat="1" applyFont="1" applyBorder="1" applyAlignment="1" applyProtection="1">
      <alignment horizontal="center" vertical="top" wrapText="1"/>
      <protection locked="0"/>
    </xf>
    <xf numFmtId="0" fontId="4" fillId="0" borderId="33" xfId="0" applyFont="1" applyBorder="1" applyAlignment="1" applyProtection="1">
      <alignment horizontal="center" vertical="top"/>
      <protection hidden="1"/>
    </xf>
    <xf numFmtId="0" fontId="2" fillId="0" borderId="33" xfId="0" applyFont="1" applyBorder="1" applyAlignment="1" applyProtection="1">
      <alignment horizontal="center" vertical="top" wrapText="1"/>
      <protection locked="0"/>
    </xf>
    <xf numFmtId="0" fontId="6" fillId="0" borderId="33" xfId="0" applyFont="1" applyBorder="1" applyAlignment="1" applyProtection="1">
      <alignment horizontal="center" vertical="top" wrapText="1"/>
      <protection locked="0"/>
    </xf>
    <xf numFmtId="0" fontId="1" fillId="0" borderId="83"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14" fontId="1" fillId="0" borderId="83" xfId="0" applyNumberFormat="1" applyFont="1" applyBorder="1" applyAlignment="1" applyProtection="1">
      <alignment vertical="center"/>
      <protection locked="0"/>
    </xf>
    <xf numFmtId="14" fontId="1" fillId="0" borderId="33" xfId="0" applyNumberFormat="1" applyFont="1" applyBorder="1" applyAlignment="1" applyProtection="1">
      <alignment horizontal="center" vertical="center"/>
      <protection locked="0"/>
    </xf>
    <xf numFmtId="0" fontId="60" fillId="0" borderId="33" xfId="0" applyFont="1" applyBorder="1" applyAlignment="1" applyProtection="1">
      <alignment horizontal="center" vertical="center" wrapText="1"/>
      <protection locked="0"/>
    </xf>
    <xf numFmtId="0" fontId="61" fillId="0" borderId="84" xfId="0" applyFont="1" applyBorder="1" applyAlignment="1" applyProtection="1">
      <alignment horizontal="center" vertical="center" wrapText="1"/>
      <protection locked="0"/>
    </xf>
    <xf numFmtId="0" fontId="60" fillId="3" borderId="33" xfId="0" applyFont="1" applyFill="1" applyBorder="1" applyAlignment="1" applyProtection="1">
      <alignment horizontal="center" vertical="center" wrapText="1"/>
      <protection locked="0"/>
    </xf>
    <xf numFmtId="0" fontId="60" fillId="3" borderId="85" xfId="0" applyFont="1" applyFill="1" applyBorder="1" applyAlignment="1" applyProtection="1">
      <alignment horizontal="center" vertical="center" wrapText="1"/>
      <protection locked="0"/>
    </xf>
    <xf numFmtId="0" fontId="61" fillId="0" borderId="33" xfId="0" applyFont="1" applyBorder="1" applyAlignment="1" applyProtection="1">
      <alignment horizontal="center" vertical="center" wrapText="1"/>
      <protection locked="0"/>
    </xf>
    <xf numFmtId="0" fontId="61" fillId="3" borderId="33" xfId="0" applyFont="1" applyFill="1" applyBorder="1" applyAlignment="1" applyProtection="1">
      <alignment horizontal="center" vertical="center" wrapText="1"/>
      <protection locked="0"/>
    </xf>
    <xf numFmtId="14" fontId="60" fillId="0" borderId="33" xfId="0" applyNumberFormat="1" applyFont="1" applyBorder="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3" borderId="38" xfId="0" applyFont="1" applyFill="1" applyBorder="1" applyAlignment="1" applyProtection="1">
      <alignment horizontal="center" vertical="center" wrapText="1"/>
      <protection locked="0"/>
    </xf>
    <xf numFmtId="0" fontId="1" fillId="0" borderId="86" xfId="0" applyFont="1" applyBorder="1" applyAlignment="1">
      <alignment horizontal="center" vertical="center"/>
    </xf>
    <xf numFmtId="0" fontId="1" fillId="0" borderId="69" xfId="0" applyFont="1" applyBorder="1" applyAlignment="1">
      <alignment horizontal="center" vertical="center"/>
    </xf>
    <xf numFmtId="0" fontId="1" fillId="0" borderId="69" xfId="0" applyFont="1" applyBorder="1"/>
    <xf numFmtId="0" fontId="1" fillId="0" borderId="69" xfId="0" applyFont="1" applyBorder="1" applyAlignment="1">
      <alignment horizontal="center"/>
    </xf>
    <xf numFmtId="0" fontId="1" fillId="0" borderId="87" xfId="0" applyFont="1" applyBorder="1"/>
    <xf numFmtId="0" fontId="55" fillId="3" borderId="64" xfId="2" applyFont="1" applyFill="1" applyBorder="1" applyAlignment="1" applyProtection="1">
      <alignment horizontal="justify" vertical="center" wrapText="1"/>
    </xf>
    <xf numFmtId="0" fontId="55" fillId="3" borderId="65" xfId="2" applyFont="1" applyFill="1" applyBorder="1" applyAlignment="1" applyProtection="1">
      <alignment horizontal="justify" vertical="center" wrapText="1"/>
    </xf>
    <xf numFmtId="0" fontId="54" fillId="3" borderId="71" xfId="0" applyFont="1" applyFill="1" applyBorder="1" applyAlignment="1" applyProtection="1">
      <alignment horizontal="left" vertical="center" wrapText="1"/>
    </xf>
    <xf numFmtId="0" fontId="54" fillId="3" borderId="72" xfId="0" applyFont="1" applyFill="1" applyBorder="1" applyAlignment="1" applyProtection="1">
      <alignment horizontal="left" vertical="center" wrapText="1"/>
    </xf>
    <xf numFmtId="0" fontId="54" fillId="3" borderId="58" xfId="3" applyFont="1" applyFill="1" applyBorder="1" applyAlignment="1" applyProtection="1">
      <alignment horizontal="left" vertical="top" wrapText="1" readingOrder="1"/>
    </xf>
    <xf numFmtId="0" fontId="54" fillId="3" borderId="59" xfId="3" applyFont="1" applyFill="1" applyBorder="1" applyAlignment="1" applyProtection="1">
      <alignment horizontal="left" vertical="top" wrapText="1" readingOrder="1"/>
    </xf>
    <xf numFmtId="0" fontId="55" fillId="3" borderId="60" xfId="2" applyFont="1" applyFill="1" applyBorder="1" applyAlignment="1" applyProtection="1">
      <alignment horizontal="justify" vertical="center" wrapText="1"/>
    </xf>
    <xf numFmtId="0" fontId="55" fillId="3" borderId="61" xfId="2" applyFont="1" applyFill="1" applyBorder="1" applyAlignment="1" applyProtection="1">
      <alignment horizontal="justify" vertical="center" wrapText="1"/>
    </xf>
    <xf numFmtId="0" fontId="54" fillId="3" borderId="62" xfId="0" applyFont="1" applyFill="1" applyBorder="1" applyAlignment="1" applyProtection="1">
      <alignment horizontal="left" vertical="center" wrapText="1"/>
    </xf>
    <xf numFmtId="0" fontId="54" fillId="3" borderId="63" xfId="0" applyFont="1" applyFill="1" applyBorder="1" applyAlignment="1" applyProtection="1">
      <alignment horizontal="left" vertical="center" wrapText="1"/>
    </xf>
    <xf numFmtId="0" fontId="49" fillId="3" borderId="14" xfId="2" applyFont="1" applyFill="1" applyBorder="1" applyAlignment="1" applyProtection="1">
      <alignment horizontal="left" vertical="top" wrapText="1"/>
    </xf>
    <xf numFmtId="0" fontId="49" fillId="3" borderId="0" xfId="2" applyFont="1" applyFill="1" applyBorder="1" applyAlignment="1" applyProtection="1">
      <alignment horizontal="left" vertical="top" wrapText="1"/>
    </xf>
    <xf numFmtId="0" fontId="49" fillId="3" borderId="15" xfId="2" applyFont="1" applyFill="1" applyBorder="1" applyAlignment="1" applyProtection="1">
      <alignment horizontal="left" vertical="top" wrapText="1"/>
    </xf>
    <xf numFmtId="0" fontId="54" fillId="3" borderId="73" xfId="0" applyFont="1" applyFill="1" applyBorder="1" applyAlignment="1" applyProtection="1">
      <alignment horizontal="left" vertical="center" wrapText="1"/>
    </xf>
    <xf numFmtId="0" fontId="54" fillId="3" borderId="74" xfId="0" applyFont="1" applyFill="1" applyBorder="1" applyAlignment="1" applyProtection="1">
      <alignment horizontal="left" vertical="center" wrapText="1"/>
    </xf>
    <xf numFmtId="0" fontId="55" fillId="3" borderId="66" xfId="0" applyFont="1" applyFill="1" applyBorder="1" applyAlignment="1" applyProtection="1">
      <alignment horizontal="justify" vertical="center" wrapText="1"/>
    </xf>
    <xf numFmtId="0" fontId="55" fillId="3" borderId="67" xfId="0" applyFont="1" applyFill="1" applyBorder="1" applyAlignment="1" applyProtection="1">
      <alignment horizontal="justify" vertical="center" wrapText="1"/>
    </xf>
    <xf numFmtId="0" fontId="50" fillId="14" borderId="48" xfId="2" applyFont="1" applyFill="1" applyBorder="1" applyAlignment="1" applyProtection="1">
      <alignment horizontal="center" vertical="center" wrapText="1"/>
    </xf>
    <xf numFmtId="0" fontId="50" fillId="14" borderId="49" xfId="2" applyFont="1" applyFill="1" applyBorder="1" applyAlignment="1" applyProtection="1">
      <alignment horizontal="center" vertical="center" wrapText="1"/>
    </xf>
    <xf numFmtId="0" fontId="50" fillId="14" borderId="50" xfId="2" applyFont="1" applyFill="1" applyBorder="1" applyAlignment="1" applyProtection="1">
      <alignment horizontal="center" vertical="center" wrapText="1"/>
    </xf>
    <xf numFmtId="0" fontId="49" fillId="0" borderId="14" xfId="2" quotePrefix="1" applyFont="1" applyBorder="1" applyAlignment="1" applyProtection="1">
      <alignment horizontal="left" vertical="center" wrapText="1"/>
    </xf>
    <xf numFmtId="0" fontId="49" fillId="0" borderId="0" xfId="2" quotePrefix="1" applyFont="1" applyBorder="1" applyAlignment="1" applyProtection="1">
      <alignment horizontal="left" vertical="center" wrapText="1"/>
    </xf>
    <xf numFmtId="0" fontId="49" fillId="0" borderId="15" xfId="2" quotePrefix="1" applyFont="1" applyBorder="1" applyAlignment="1" applyProtection="1">
      <alignment horizontal="left" vertical="center" wrapText="1"/>
    </xf>
    <xf numFmtId="0" fontId="49" fillId="0" borderId="68" xfId="2" quotePrefix="1" applyFont="1" applyBorder="1" applyAlignment="1" applyProtection="1">
      <alignment horizontal="left" vertical="center" wrapText="1"/>
    </xf>
    <xf numFmtId="0" fontId="49" fillId="0" borderId="69" xfId="2" quotePrefix="1" applyFont="1" applyBorder="1" applyAlignment="1" applyProtection="1">
      <alignment horizontal="left" vertical="center" wrapText="1"/>
    </xf>
    <xf numFmtId="0" fontId="49" fillId="0" borderId="70" xfId="2" quotePrefix="1" applyFont="1" applyBorder="1" applyAlignment="1" applyProtection="1">
      <alignment horizontal="left" vertical="center" wrapText="1"/>
    </xf>
    <xf numFmtId="0" fontId="51" fillId="3" borderId="51" xfId="2" quotePrefix="1" applyFont="1" applyFill="1" applyBorder="1" applyAlignment="1" applyProtection="1">
      <alignment horizontal="left" vertical="top" wrapText="1"/>
    </xf>
    <xf numFmtId="0" fontId="52" fillId="3" borderId="52" xfId="2" quotePrefix="1" applyFont="1" applyFill="1" applyBorder="1" applyAlignment="1" applyProtection="1">
      <alignment horizontal="left" vertical="top" wrapText="1"/>
    </xf>
    <xf numFmtId="0" fontId="52" fillId="3" borderId="53" xfId="2" quotePrefix="1" applyFont="1" applyFill="1" applyBorder="1" applyAlignment="1" applyProtection="1">
      <alignment horizontal="left" vertical="top" wrapText="1"/>
    </xf>
    <xf numFmtId="0" fontId="49" fillId="0" borderId="14" xfId="2" quotePrefix="1" applyFont="1" applyBorder="1" applyAlignment="1" applyProtection="1">
      <alignment horizontal="left" vertical="top" wrapText="1"/>
    </xf>
    <xf numFmtId="0" fontId="49" fillId="0" borderId="0" xfId="2" quotePrefix="1" applyFont="1" applyBorder="1" applyAlignment="1" applyProtection="1">
      <alignment horizontal="left" vertical="top" wrapText="1"/>
    </xf>
    <xf numFmtId="0" fontId="49" fillId="0" borderId="15" xfId="2" quotePrefix="1" applyFont="1" applyBorder="1" applyAlignment="1" applyProtection="1">
      <alignment horizontal="left" vertical="top" wrapText="1"/>
    </xf>
    <xf numFmtId="0" fontId="54" fillId="14" borderId="54" xfId="3" applyFont="1" applyFill="1" applyBorder="1" applyAlignment="1" applyProtection="1">
      <alignment horizontal="center" vertical="center" wrapText="1"/>
    </xf>
    <xf numFmtId="0" fontId="54" fillId="14" borderId="55" xfId="3" applyFont="1" applyFill="1" applyBorder="1" applyAlignment="1" applyProtection="1">
      <alignment horizontal="center" vertical="center" wrapText="1"/>
    </xf>
    <xf numFmtId="0" fontId="54" fillId="14" borderId="56" xfId="2" applyFont="1" applyFill="1" applyBorder="1" applyAlignment="1" applyProtection="1">
      <alignment horizontal="center" vertical="center"/>
    </xf>
    <xf numFmtId="0" fontId="54"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60" fillId="0" borderId="33" xfId="0" applyFont="1" applyBorder="1" applyAlignment="1" applyProtection="1">
      <alignment horizontal="center" vertical="center" wrapText="1"/>
      <protection locked="0"/>
    </xf>
    <xf numFmtId="14" fontId="60" fillId="0" borderId="33" xfId="0" applyNumberFormat="1" applyFont="1" applyBorder="1" applyAlignment="1" applyProtection="1">
      <alignment horizontal="center" vertical="center" wrapText="1"/>
      <protection locked="0"/>
    </xf>
    <xf numFmtId="0" fontId="60" fillId="0" borderId="78" xfId="0"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61" fillId="3" borderId="33" xfId="0" applyFont="1" applyFill="1" applyBorder="1" applyAlignment="1" applyProtection="1">
      <alignment horizontal="center" vertical="center" wrapText="1"/>
      <protection locked="0"/>
    </xf>
    <xf numFmtId="14" fontId="60" fillId="0" borderId="78" xfId="0" applyNumberFormat="1" applyFont="1" applyBorder="1" applyAlignment="1" applyProtection="1">
      <alignment horizontal="center" vertical="center" wrapText="1"/>
      <protection locked="0"/>
    </xf>
    <xf numFmtId="14" fontId="60" fillId="0" borderId="34"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33"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protection locked="0"/>
    </xf>
    <xf numFmtId="0" fontId="4" fillId="0" borderId="33" xfId="0" applyFont="1" applyFill="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xf>
    <xf numFmtId="0" fontId="1"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textRotation="90"/>
      <protection locked="0"/>
    </xf>
    <xf numFmtId="9" fontId="1" fillId="0" borderId="33" xfId="0" applyNumberFormat="1" applyFont="1" applyBorder="1" applyAlignment="1" applyProtection="1">
      <alignment horizontal="center" vertical="center"/>
      <protection hidden="1"/>
    </xf>
    <xf numFmtId="0" fontId="4" fillId="0" borderId="33"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29" xfId="0" applyNumberFormat="1" applyFont="1" applyBorder="1" applyAlignment="1" applyProtection="1">
      <alignment horizontal="center" vertical="top" wrapText="1"/>
      <protection hidden="1"/>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33" xfId="0" applyFont="1" applyBorder="1" applyAlignment="1" applyProtection="1">
      <alignment horizontal="center" vertical="center" textRotation="90"/>
      <protection hidden="1"/>
    </xf>
    <xf numFmtId="0" fontId="1" fillId="0" borderId="33" xfId="0" applyFont="1" applyBorder="1" applyAlignment="1" applyProtection="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4" fontId="1" fillId="0" borderId="78" xfId="0" applyNumberFormat="1" applyFont="1" applyBorder="1" applyAlignment="1" applyProtection="1">
      <alignment horizontal="center" vertical="center"/>
      <protection locked="0"/>
    </xf>
    <xf numFmtId="14" fontId="1" fillId="0" borderId="34" xfId="0" applyNumberFormat="1" applyFont="1" applyBorder="1" applyAlignment="1" applyProtection="1">
      <alignment horizontal="center" vertical="center"/>
      <protection locked="0"/>
    </xf>
    <xf numFmtId="9" fontId="1" fillId="0" borderId="31" xfId="0" applyNumberFormat="1" applyFont="1" applyBorder="1" applyAlignment="1" applyProtection="1">
      <alignment horizontal="center" vertical="top" wrapText="1"/>
      <protection hidden="1"/>
    </xf>
    <xf numFmtId="9" fontId="1" fillId="0" borderId="0" xfId="0" applyNumberFormat="1" applyFont="1" applyBorder="1" applyAlignment="1" applyProtection="1">
      <alignment horizontal="center" vertical="top" wrapText="1"/>
      <protection hidden="1"/>
    </xf>
    <xf numFmtId="9" fontId="1" fillId="0" borderId="33" xfId="0" applyNumberFormat="1" applyFont="1" applyBorder="1" applyAlignment="1" applyProtection="1">
      <alignment horizontal="center" vertical="top" wrapText="1"/>
      <protection hidden="1"/>
    </xf>
    <xf numFmtId="0" fontId="1" fillId="0" borderId="34" xfId="0" applyFont="1" applyBorder="1" applyAlignment="1" applyProtection="1">
      <alignment horizontal="center" vertical="center" wrapText="1"/>
      <protection locked="0"/>
    </xf>
    <xf numFmtId="0" fontId="60" fillId="3" borderId="78" xfId="0" applyFont="1" applyFill="1" applyBorder="1" applyAlignment="1" applyProtection="1">
      <alignment horizontal="center" vertical="center" wrapText="1"/>
      <protection locked="0"/>
    </xf>
    <xf numFmtId="0" fontId="60" fillId="3" borderId="34" xfId="0" applyFont="1" applyFill="1" applyBorder="1" applyAlignment="1" applyProtection="1">
      <alignment horizontal="center" vertical="center" wrapText="1"/>
      <protection locked="0"/>
    </xf>
    <xf numFmtId="0" fontId="35" fillId="0" borderId="33" xfId="0" applyFont="1" applyBorder="1" applyAlignment="1" applyProtection="1">
      <alignment horizontal="center" vertical="center" wrapText="1"/>
      <protection locked="0"/>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26" fillId="2" borderId="4" xfId="0" applyFont="1" applyFill="1" applyBorder="1" applyAlignment="1">
      <alignment horizontal="center" vertical="center" textRotation="90"/>
    </xf>
    <xf numFmtId="0" fontId="26" fillId="2" borderId="8"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60" fillId="3" borderId="6" xfId="0" applyFont="1" applyFill="1" applyBorder="1" applyAlignment="1" applyProtection="1">
      <alignment horizontal="left" vertical="center" wrapText="1"/>
      <protection locked="0"/>
    </xf>
    <xf numFmtId="0" fontId="60" fillId="3" borderId="10" xfId="0" applyFont="1" applyFill="1" applyBorder="1" applyAlignment="1" applyProtection="1">
      <alignment horizontal="left" vertical="center" wrapText="1"/>
      <protection locked="0"/>
    </xf>
    <xf numFmtId="0" fontId="60"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60" fillId="3" borderId="6" xfId="0" applyFont="1" applyFill="1" applyBorder="1" applyAlignment="1" applyProtection="1">
      <alignment horizontal="left" vertical="center"/>
      <protection locked="0"/>
    </xf>
    <xf numFmtId="0" fontId="60" fillId="3" borderId="10" xfId="0" applyFont="1" applyFill="1" applyBorder="1" applyAlignment="1" applyProtection="1">
      <alignment horizontal="left" vertical="center"/>
      <protection locked="0"/>
    </xf>
    <xf numFmtId="0" fontId="60"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0" xfId="0" applyFont="1" applyBorder="1" applyAlignment="1">
      <alignment horizontal="center" vertical="center"/>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Border="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Border="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Border="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Border="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Border="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8" fillId="3" borderId="88" xfId="0" applyFont="1" applyFill="1" applyBorder="1" applyAlignment="1">
      <alignment horizontal="center" wrapText="1"/>
    </xf>
    <xf numFmtId="0" fontId="8" fillId="3" borderId="52" xfId="0" applyFont="1" applyFill="1" applyBorder="1" applyAlignment="1">
      <alignment horizontal="center" wrapText="1"/>
    </xf>
    <xf numFmtId="0" fontId="8" fillId="3" borderId="89" xfId="0" applyFont="1" applyFill="1" applyBorder="1" applyAlignment="1">
      <alignment horizontal="center" wrapText="1"/>
    </xf>
    <xf numFmtId="0" fontId="62" fillId="3" borderId="90" xfId="0" applyFont="1" applyFill="1" applyBorder="1" applyAlignment="1">
      <alignment horizontal="center" wrapText="1"/>
    </xf>
    <xf numFmtId="0" fontId="62" fillId="3" borderId="0" xfId="0" applyFont="1" applyFill="1" applyAlignment="1">
      <alignment horizontal="center" wrapText="1"/>
    </xf>
    <xf numFmtId="0" fontId="62" fillId="3" borderId="91" xfId="0" applyFont="1" applyFill="1" applyBorder="1" applyAlignment="1">
      <alignment horizontal="center" wrapText="1"/>
    </xf>
    <xf numFmtId="0" fontId="62" fillId="3" borderId="86" xfId="0" applyFont="1" applyFill="1" applyBorder="1" applyAlignment="1">
      <alignment horizontal="center" wrapText="1"/>
    </xf>
    <xf numFmtId="0" fontId="62" fillId="3" borderId="69" xfId="0" applyFont="1" applyFill="1" applyBorder="1" applyAlignment="1">
      <alignment horizontal="center" wrapText="1"/>
    </xf>
    <xf numFmtId="0" fontId="62" fillId="3" borderId="87" xfId="0" applyFont="1" applyFill="1" applyBorder="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1021693</xdr:colOff>
      <xdr:row>2</xdr:row>
      <xdr:rowOff>138340</xdr:rowOff>
    </xdr:from>
    <xdr:to>
      <xdr:col>35</xdr:col>
      <xdr:colOff>671286</xdr:colOff>
      <xdr:row>5</xdr:row>
      <xdr:rowOff>285750</xdr:rowOff>
    </xdr:to>
    <xdr:pic>
      <xdr:nvPicPr>
        <xdr:cNvPr id="2" name="Imagen 1">
          <a:extLst>
            <a:ext uri="{FF2B5EF4-FFF2-40B4-BE49-F238E27FC236}">
              <a16:creationId xmlns:a16="http://schemas.microsoft.com/office/drawing/2014/main" id="{3A9FE105-B79C-43E8-9FFC-209892500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6193" y="646340"/>
          <a:ext cx="4348593" cy="122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FINANCIERA%20FINAL.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7.1%20%20MAPA%20RIESGOS%20FINAL%20Y%20ACTUALIZADO%20VIVIENDA%20Y%20URBANIS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4" zoomScale="110" zoomScaleNormal="110" workbookViewId="0">
      <selection activeCell="E36" sqref="E36:F36"/>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286" t="s">
        <v>166</v>
      </c>
      <c r="C2" s="287"/>
      <c r="D2" s="287"/>
      <c r="E2" s="287"/>
      <c r="F2" s="287"/>
      <c r="G2" s="287"/>
      <c r="H2" s="288"/>
    </row>
    <row r="3" spans="2:8" x14ac:dyDescent="0.25">
      <c r="B3" s="84"/>
      <c r="C3" s="85"/>
      <c r="D3" s="85"/>
      <c r="E3" s="85"/>
      <c r="F3" s="85"/>
      <c r="G3" s="85"/>
      <c r="H3" s="86"/>
    </row>
    <row r="4" spans="2:8" ht="63" customHeight="1" x14ac:dyDescent="0.25">
      <c r="B4" s="289" t="s">
        <v>209</v>
      </c>
      <c r="C4" s="290"/>
      <c r="D4" s="290"/>
      <c r="E4" s="290"/>
      <c r="F4" s="290"/>
      <c r="G4" s="290"/>
      <c r="H4" s="291"/>
    </row>
    <row r="5" spans="2:8" ht="63" customHeight="1" x14ac:dyDescent="0.25">
      <c r="B5" s="292"/>
      <c r="C5" s="293"/>
      <c r="D5" s="293"/>
      <c r="E5" s="293"/>
      <c r="F5" s="293"/>
      <c r="G5" s="293"/>
      <c r="H5" s="294"/>
    </row>
    <row r="6" spans="2:8" ht="16.5" x14ac:dyDescent="0.25">
      <c r="B6" s="295" t="s">
        <v>164</v>
      </c>
      <c r="C6" s="296"/>
      <c r="D6" s="296"/>
      <c r="E6" s="296"/>
      <c r="F6" s="296"/>
      <c r="G6" s="296"/>
      <c r="H6" s="297"/>
    </row>
    <row r="7" spans="2:8" ht="95.25" customHeight="1" x14ac:dyDescent="0.25">
      <c r="B7" s="305" t="s">
        <v>169</v>
      </c>
      <c r="C7" s="306"/>
      <c r="D7" s="306"/>
      <c r="E7" s="306"/>
      <c r="F7" s="306"/>
      <c r="G7" s="306"/>
      <c r="H7" s="307"/>
    </row>
    <row r="8" spans="2:8" ht="16.5" x14ac:dyDescent="0.25">
      <c r="B8" s="121"/>
      <c r="C8" s="122"/>
      <c r="D8" s="122"/>
      <c r="E8" s="122"/>
      <c r="F8" s="122"/>
      <c r="G8" s="122"/>
      <c r="H8" s="123"/>
    </row>
    <row r="9" spans="2:8" ht="16.5" customHeight="1" x14ac:dyDescent="0.25">
      <c r="B9" s="298" t="s">
        <v>202</v>
      </c>
      <c r="C9" s="299"/>
      <c r="D9" s="299"/>
      <c r="E9" s="299"/>
      <c r="F9" s="299"/>
      <c r="G9" s="299"/>
      <c r="H9" s="300"/>
    </row>
    <row r="10" spans="2:8" ht="44.25" customHeight="1" x14ac:dyDescent="0.25">
      <c r="B10" s="298"/>
      <c r="C10" s="299"/>
      <c r="D10" s="299"/>
      <c r="E10" s="299"/>
      <c r="F10" s="299"/>
      <c r="G10" s="299"/>
      <c r="H10" s="300"/>
    </row>
    <row r="11" spans="2:8" ht="15.75" thickBot="1" x14ac:dyDescent="0.3">
      <c r="B11" s="109"/>
      <c r="C11" s="112"/>
      <c r="D11" s="117"/>
      <c r="E11" s="118"/>
      <c r="F11" s="118"/>
      <c r="G11" s="119"/>
      <c r="H11" s="120"/>
    </row>
    <row r="12" spans="2:8" ht="15.75" thickTop="1" x14ac:dyDescent="0.25">
      <c r="B12" s="109"/>
      <c r="C12" s="301" t="s">
        <v>165</v>
      </c>
      <c r="D12" s="302"/>
      <c r="E12" s="303" t="s">
        <v>203</v>
      </c>
      <c r="F12" s="304"/>
      <c r="G12" s="112"/>
      <c r="H12" s="113"/>
    </row>
    <row r="13" spans="2:8" ht="35.25" customHeight="1" x14ac:dyDescent="0.25">
      <c r="B13" s="109"/>
      <c r="C13" s="273" t="s">
        <v>196</v>
      </c>
      <c r="D13" s="274"/>
      <c r="E13" s="275" t="s">
        <v>201</v>
      </c>
      <c r="F13" s="276"/>
      <c r="G13" s="112"/>
      <c r="H13" s="113"/>
    </row>
    <row r="14" spans="2:8" ht="17.25" customHeight="1" x14ac:dyDescent="0.25">
      <c r="B14" s="109"/>
      <c r="C14" s="273" t="s">
        <v>197</v>
      </c>
      <c r="D14" s="274"/>
      <c r="E14" s="275" t="s">
        <v>199</v>
      </c>
      <c r="F14" s="276"/>
      <c r="G14" s="112"/>
      <c r="H14" s="113"/>
    </row>
    <row r="15" spans="2:8" ht="19.5" customHeight="1" x14ac:dyDescent="0.25">
      <c r="B15" s="109"/>
      <c r="C15" s="273" t="s">
        <v>198</v>
      </c>
      <c r="D15" s="274"/>
      <c r="E15" s="275" t="s">
        <v>200</v>
      </c>
      <c r="F15" s="276"/>
      <c r="G15" s="112"/>
      <c r="H15" s="113"/>
    </row>
    <row r="16" spans="2:8" ht="69.75" customHeight="1" x14ac:dyDescent="0.25">
      <c r="B16" s="109"/>
      <c r="C16" s="273" t="s">
        <v>167</v>
      </c>
      <c r="D16" s="274"/>
      <c r="E16" s="275" t="s">
        <v>168</v>
      </c>
      <c r="F16" s="276"/>
      <c r="G16" s="112"/>
      <c r="H16" s="113"/>
    </row>
    <row r="17" spans="2:8" ht="34.5" customHeight="1" x14ac:dyDescent="0.25">
      <c r="B17" s="109"/>
      <c r="C17" s="277" t="s">
        <v>2</v>
      </c>
      <c r="D17" s="278"/>
      <c r="E17" s="269" t="s">
        <v>210</v>
      </c>
      <c r="F17" s="270"/>
      <c r="G17" s="112"/>
      <c r="H17" s="113"/>
    </row>
    <row r="18" spans="2:8" ht="27.75" customHeight="1" x14ac:dyDescent="0.25">
      <c r="B18" s="109"/>
      <c r="C18" s="277" t="s">
        <v>3</v>
      </c>
      <c r="D18" s="278"/>
      <c r="E18" s="269" t="s">
        <v>211</v>
      </c>
      <c r="F18" s="270"/>
      <c r="G18" s="112"/>
      <c r="H18" s="113"/>
    </row>
    <row r="19" spans="2:8" ht="28.5" customHeight="1" x14ac:dyDescent="0.25">
      <c r="B19" s="109"/>
      <c r="C19" s="277" t="s">
        <v>42</v>
      </c>
      <c r="D19" s="278"/>
      <c r="E19" s="269" t="s">
        <v>212</v>
      </c>
      <c r="F19" s="270"/>
      <c r="G19" s="112"/>
      <c r="H19" s="113"/>
    </row>
    <row r="20" spans="2:8" ht="72.75" customHeight="1" x14ac:dyDescent="0.25">
      <c r="B20" s="109"/>
      <c r="C20" s="277" t="s">
        <v>1</v>
      </c>
      <c r="D20" s="278"/>
      <c r="E20" s="269" t="s">
        <v>213</v>
      </c>
      <c r="F20" s="270"/>
      <c r="G20" s="112"/>
      <c r="H20" s="113"/>
    </row>
    <row r="21" spans="2:8" ht="64.5" customHeight="1" x14ac:dyDescent="0.25">
      <c r="B21" s="109"/>
      <c r="C21" s="277" t="s">
        <v>50</v>
      </c>
      <c r="D21" s="278"/>
      <c r="E21" s="269" t="s">
        <v>171</v>
      </c>
      <c r="F21" s="270"/>
      <c r="G21" s="112"/>
      <c r="H21" s="113"/>
    </row>
    <row r="22" spans="2:8" ht="71.25" customHeight="1" x14ac:dyDescent="0.25">
      <c r="B22" s="109"/>
      <c r="C22" s="277" t="s">
        <v>170</v>
      </c>
      <c r="D22" s="278"/>
      <c r="E22" s="269" t="s">
        <v>172</v>
      </c>
      <c r="F22" s="270"/>
      <c r="G22" s="112"/>
      <c r="H22" s="113"/>
    </row>
    <row r="23" spans="2:8" ht="55.5" customHeight="1" x14ac:dyDescent="0.25">
      <c r="B23" s="109"/>
      <c r="C23" s="271" t="s">
        <v>173</v>
      </c>
      <c r="D23" s="272"/>
      <c r="E23" s="269" t="s">
        <v>174</v>
      </c>
      <c r="F23" s="270"/>
      <c r="G23" s="112"/>
      <c r="H23" s="113"/>
    </row>
    <row r="24" spans="2:8" ht="42" customHeight="1" x14ac:dyDescent="0.25">
      <c r="B24" s="109"/>
      <c r="C24" s="271" t="s">
        <v>48</v>
      </c>
      <c r="D24" s="272"/>
      <c r="E24" s="269" t="s">
        <v>175</v>
      </c>
      <c r="F24" s="270"/>
      <c r="G24" s="112"/>
      <c r="H24" s="113"/>
    </row>
    <row r="25" spans="2:8" ht="59.25" customHeight="1" x14ac:dyDescent="0.25">
      <c r="B25" s="109"/>
      <c r="C25" s="271" t="s">
        <v>163</v>
      </c>
      <c r="D25" s="272"/>
      <c r="E25" s="269" t="s">
        <v>176</v>
      </c>
      <c r="F25" s="270"/>
      <c r="G25" s="112"/>
      <c r="H25" s="113"/>
    </row>
    <row r="26" spans="2:8" ht="23.25" customHeight="1" x14ac:dyDescent="0.25">
      <c r="B26" s="109"/>
      <c r="C26" s="271" t="s">
        <v>12</v>
      </c>
      <c r="D26" s="272"/>
      <c r="E26" s="269" t="s">
        <v>177</v>
      </c>
      <c r="F26" s="270"/>
      <c r="G26" s="112"/>
      <c r="H26" s="113"/>
    </row>
    <row r="27" spans="2:8" ht="30.75" customHeight="1" x14ac:dyDescent="0.25">
      <c r="B27" s="109"/>
      <c r="C27" s="271" t="s">
        <v>181</v>
      </c>
      <c r="D27" s="272"/>
      <c r="E27" s="269" t="s">
        <v>178</v>
      </c>
      <c r="F27" s="270"/>
      <c r="G27" s="112"/>
      <c r="H27" s="113"/>
    </row>
    <row r="28" spans="2:8" ht="35.25" customHeight="1" x14ac:dyDescent="0.25">
      <c r="B28" s="109"/>
      <c r="C28" s="271" t="s">
        <v>182</v>
      </c>
      <c r="D28" s="272"/>
      <c r="E28" s="269" t="s">
        <v>179</v>
      </c>
      <c r="F28" s="270"/>
      <c r="G28" s="112"/>
      <c r="H28" s="113"/>
    </row>
    <row r="29" spans="2:8" ht="33" customHeight="1" x14ac:dyDescent="0.25">
      <c r="B29" s="109"/>
      <c r="C29" s="271" t="s">
        <v>182</v>
      </c>
      <c r="D29" s="272"/>
      <c r="E29" s="269" t="s">
        <v>179</v>
      </c>
      <c r="F29" s="270"/>
      <c r="G29" s="112"/>
      <c r="H29" s="113"/>
    </row>
    <row r="30" spans="2:8" ht="30" customHeight="1" x14ac:dyDescent="0.25">
      <c r="B30" s="109"/>
      <c r="C30" s="271" t="s">
        <v>183</v>
      </c>
      <c r="D30" s="272"/>
      <c r="E30" s="269" t="s">
        <v>180</v>
      </c>
      <c r="F30" s="270"/>
      <c r="G30" s="112"/>
      <c r="H30" s="113"/>
    </row>
    <row r="31" spans="2:8" ht="35.25" customHeight="1" x14ac:dyDescent="0.25">
      <c r="B31" s="109"/>
      <c r="C31" s="271" t="s">
        <v>184</v>
      </c>
      <c r="D31" s="272"/>
      <c r="E31" s="269" t="s">
        <v>185</v>
      </c>
      <c r="F31" s="270"/>
      <c r="G31" s="112"/>
      <c r="H31" s="113"/>
    </row>
    <row r="32" spans="2:8" ht="31.5" customHeight="1" x14ac:dyDescent="0.25">
      <c r="B32" s="109"/>
      <c r="C32" s="271" t="s">
        <v>186</v>
      </c>
      <c r="D32" s="272"/>
      <c r="E32" s="269" t="s">
        <v>187</v>
      </c>
      <c r="F32" s="270"/>
      <c r="G32" s="112"/>
      <c r="H32" s="113"/>
    </row>
    <row r="33" spans="2:8" ht="35.25" customHeight="1" x14ac:dyDescent="0.25">
      <c r="B33" s="109"/>
      <c r="C33" s="271" t="s">
        <v>188</v>
      </c>
      <c r="D33" s="272"/>
      <c r="E33" s="269" t="s">
        <v>189</v>
      </c>
      <c r="F33" s="270"/>
      <c r="G33" s="112"/>
      <c r="H33" s="113"/>
    </row>
    <row r="34" spans="2:8" ht="59.25" customHeight="1" x14ac:dyDescent="0.25">
      <c r="B34" s="109"/>
      <c r="C34" s="271" t="s">
        <v>190</v>
      </c>
      <c r="D34" s="272"/>
      <c r="E34" s="269" t="s">
        <v>191</v>
      </c>
      <c r="F34" s="270"/>
      <c r="G34" s="112"/>
      <c r="H34" s="113"/>
    </row>
    <row r="35" spans="2:8" ht="29.25" customHeight="1" x14ac:dyDescent="0.25">
      <c r="B35" s="109"/>
      <c r="C35" s="271" t="s">
        <v>29</v>
      </c>
      <c r="D35" s="272"/>
      <c r="E35" s="269" t="s">
        <v>192</v>
      </c>
      <c r="F35" s="270"/>
      <c r="G35" s="112"/>
      <c r="H35" s="113"/>
    </row>
    <row r="36" spans="2:8" ht="82.5" customHeight="1" x14ac:dyDescent="0.25">
      <c r="B36" s="109"/>
      <c r="C36" s="271" t="s">
        <v>194</v>
      </c>
      <c r="D36" s="272"/>
      <c r="E36" s="269" t="s">
        <v>193</v>
      </c>
      <c r="F36" s="270"/>
      <c r="G36" s="112"/>
      <c r="H36" s="113"/>
    </row>
    <row r="37" spans="2:8" ht="46.5" customHeight="1" x14ac:dyDescent="0.25">
      <c r="B37" s="109"/>
      <c r="C37" s="271" t="s">
        <v>39</v>
      </c>
      <c r="D37" s="272"/>
      <c r="E37" s="269" t="s">
        <v>195</v>
      </c>
      <c r="F37" s="270"/>
      <c r="G37" s="112"/>
      <c r="H37" s="113"/>
    </row>
    <row r="38" spans="2:8" ht="6.75" customHeight="1" thickBot="1" x14ac:dyDescent="0.3">
      <c r="B38" s="109"/>
      <c r="C38" s="282"/>
      <c r="D38" s="283"/>
      <c r="E38" s="284"/>
      <c r="F38" s="285"/>
      <c r="G38" s="112"/>
      <c r="H38" s="113"/>
    </row>
    <row r="39" spans="2:8" ht="15.75" thickTop="1" x14ac:dyDescent="0.25">
      <c r="B39" s="109"/>
      <c r="C39" s="110"/>
      <c r="D39" s="110"/>
      <c r="E39" s="111"/>
      <c r="F39" s="111"/>
      <c r="G39" s="112"/>
      <c r="H39" s="113"/>
    </row>
    <row r="40" spans="2:8" ht="21" customHeight="1" x14ac:dyDescent="0.25">
      <c r="B40" s="279" t="s">
        <v>204</v>
      </c>
      <c r="C40" s="280"/>
      <c r="D40" s="280"/>
      <c r="E40" s="280"/>
      <c r="F40" s="280"/>
      <c r="G40" s="280"/>
      <c r="H40" s="281"/>
    </row>
    <row r="41" spans="2:8" ht="20.25" customHeight="1" x14ac:dyDescent="0.25">
      <c r="B41" s="279" t="s">
        <v>205</v>
      </c>
      <c r="C41" s="280"/>
      <c r="D41" s="280"/>
      <c r="E41" s="280"/>
      <c r="F41" s="280"/>
      <c r="G41" s="280"/>
      <c r="H41" s="281"/>
    </row>
    <row r="42" spans="2:8" ht="20.25" customHeight="1" x14ac:dyDescent="0.25">
      <c r="B42" s="279" t="s">
        <v>206</v>
      </c>
      <c r="C42" s="280"/>
      <c r="D42" s="280"/>
      <c r="E42" s="280"/>
      <c r="F42" s="280"/>
      <c r="G42" s="280"/>
      <c r="H42" s="281"/>
    </row>
    <row r="43" spans="2:8" ht="20.25" customHeight="1" x14ac:dyDescent="0.25">
      <c r="B43" s="279" t="s">
        <v>207</v>
      </c>
      <c r="C43" s="280"/>
      <c r="D43" s="280"/>
      <c r="E43" s="280"/>
      <c r="F43" s="280"/>
      <c r="G43" s="280"/>
      <c r="H43" s="281"/>
    </row>
    <row r="44" spans="2:8" x14ac:dyDescent="0.25">
      <c r="B44" s="279" t="s">
        <v>208</v>
      </c>
      <c r="C44" s="280"/>
      <c r="D44" s="280"/>
      <c r="E44" s="280"/>
      <c r="F44" s="280"/>
      <c r="G44" s="280"/>
      <c r="H44" s="281"/>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5"/>
  <sheetViews>
    <sheetView tabSelected="1" topLeftCell="M1" zoomScale="60" zoomScaleNormal="60" workbookViewId="0">
      <selection activeCell="R5" sqref="R5:AE5"/>
    </sheetView>
  </sheetViews>
  <sheetFormatPr baseColWidth="10" defaultRowHeight="16.5" outlineLevelRow="1" x14ac:dyDescent="0.3"/>
  <cols>
    <col min="1" max="1" width="4" style="2" bestFit="1" customWidth="1"/>
    <col min="2" max="2" width="18.5703125" style="2" customWidth="1"/>
    <col min="3" max="3" width="17.85546875" style="2" customWidth="1"/>
    <col min="4" max="4" width="20.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6.28515625" style="1" customWidth="1"/>
    <col min="35" max="35" width="18.5703125" style="1" customWidth="1"/>
    <col min="36" max="36" width="21" style="1" customWidth="1"/>
    <col min="37" max="16384" width="11.42578125" style="1"/>
  </cols>
  <sheetData>
    <row r="1" spans="1:68" ht="16.5" customHeight="1" x14ac:dyDescent="0.3">
      <c r="A1" s="339" t="s">
        <v>144</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1"/>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342"/>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4"/>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23.25" x14ac:dyDescent="0.35">
      <c r="A3" s="27"/>
      <c r="B3" s="28"/>
      <c r="C3" s="27"/>
      <c r="D3" s="27"/>
      <c r="E3" s="7"/>
      <c r="F3" s="26"/>
      <c r="G3" s="7"/>
      <c r="H3" s="7"/>
      <c r="I3" s="7"/>
      <c r="J3" s="7"/>
      <c r="K3" s="7"/>
      <c r="L3" s="7"/>
      <c r="M3" s="7"/>
      <c r="N3" s="7"/>
      <c r="O3" s="7"/>
      <c r="P3" s="7"/>
      <c r="Q3" s="7"/>
      <c r="R3" s="549" t="s">
        <v>261</v>
      </c>
      <c r="S3" s="550"/>
      <c r="T3" s="550"/>
      <c r="U3" s="550"/>
      <c r="V3" s="550"/>
      <c r="W3" s="550"/>
      <c r="X3" s="550"/>
      <c r="Y3" s="550"/>
      <c r="Z3" s="550"/>
      <c r="AA3" s="550"/>
      <c r="AB3" s="550"/>
      <c r="AC3" s="550"/>
      <c r="AD3" s="550"/>
      <c r="AE3" s="551"/>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x14ac:dyDescent="0.35">
      <c r="A4" s="382" t="s">
        <v>43</v>
      </c>
      <c r="B4" s="383"/>
      <c r="C4" s="393" t="s">
        <v>220</v>
      </c>
      <c r="D4" s="394"/>
      <c r="E4" s="394"/>
      <c r="F4" s="394"/>
      <c r="G4" s="394"/>
      <c r="H4" s="394"/>
      <c r="I4" s="394"/>
      <c r="J4" s="394"/>
      <c r="K4" s="394"/>
      <c r="L4" s="394"/>
      <c r="M4" s="394"/>
      <c r="N4" s="395"/>
      <c r="O4" s="396"/>
      <c r="P4" s="396"/>
      <c r="Q4" s="396"/>
      <c r="R4" s="552" t="s">
        <v>264</v>
      </c>
      <c r="S4" s="553"/>
      <c r="T4" s="553"/>
      <c r="U4" s="553"/>
      <c r="V4" s="553"/>
      <c r="W4" s="553"/>
      <c r="X4" s="553"/>
      <c r="Y4" s="553"/>
      <c r="Z4" s="553"/>
      <c r="AA4" s="553"/>
      <c r="AB4" s="553"/>
      <c r="AC4" s="553"/>
      <c r="AD4" s="553"/>
      <c r="AE4" s="554"/>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42.75" customHeight="1" x14ac:dyDescent="0.35">
      <c r="A5" s="382" t="s">
        <v>130</v>
      </c>
      <c r="B5" s="383"/>
      <c r="C5" s="389" t="s">
        <v>221</v>
      </c>
      <c r="D5" s="390"/>
      <c r="E5" s="390"/>
      <c r="F5" s="390"/>
      <c r="G5" s="390"/>
      <c r="H5" s="390"/>
      <c r="I5" s="390"/>
      <c r="J5" s="390"/>
      <c r="K5" s="390"/>
      <c r="L5" s="390"/>
      <c r="M5" s="390"/>
      <c r="N5" s="391"/>
      <c r="O5" s="7"/>
      <c r="P5" s="7"/>
      <c r="Q5" s="7"/>
      <c r="R5" s="552" t="s">
        <v>262</v>
      </c>
      <c r="S5" s="553"/>
      <c r="T5" s="553"/>
      <c r="U5" s="553"/>
      <c r="V5" s="553"/>
      <c r="W5" s="553"/>
      <c r="X5" s="553"/>
      <c r="Y5" s="553"/>
      <c r="Z5" s="553"/>
      <c r="AA5" s="553"/>
      <c r="AB5" s="553"/>
      <c r="AC5" s="553"/>
      <c r="AD5" s="553"/>
      <c r="AE5" s="554"/>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49.5" customHeight="1" x14ac:dyDescent="0.35">
      <c r="A6" s="382" t="s">
        <v>44</v>
      </c>
      <c r="B6" s="383"/>
      <c r="C6" s="389" t="s">
        <v>222</v>
      </c>
      <c r="D6" s="390"/>
      <c r="E6" s="390"/>
      <c r="F6" s="390"/>
      <c r="G6" s="390"/>
      <c r="H6" s="390"/>
      <c r="I6" s="390"/>
      <c r="J6" s="390"/>
      <c r="K6" s="390"/>
      <c r="L6" s="390"/>
      <c r="M6" s="390"/>
      <c r="N6" s="391"/>
      <c r="O6" s="7"/>
      <c r="P6" s="7"/>
      <c r="Q6" s="7"/>
      <c r="R6" s="555" t="s">
        <v>263</v>
      </c>
      <c r="S6" s="556"/>
      <c r="T6" s="556"/>
      <c r="U6" s="556"/>
      <c r="V6" s="556"/>
      <c r="W6" s="556"/>
      <c r="X6" s="556"/>
      <c r="Y6" s="556"/>
      <c r="Z6" s="556"/>
      <c r="AA6" s="556"/>
      <c r="AB6" s="556"/>
      <c r="AC6" s="556"/>
      <c r="AD6" s="556"/>
      <c r="AE6" s="55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x14ac:dyDescent="0.3">
      <c r="A7" s="345" t="s">
        <v>139</v>
      </c>
      <c r="B7" s="346"/>
      <c r="C7" s="346"/>
      <c r="D7" s="346"/>
      <c r="E7" s="346"/>
      <c r="F7" s="346"/>
      <c r="G7" s="347"/>
      <c r="H7" s="345" t="s">
        <v>140</v>
      </c>
      <c r="I7" s="346"/>
      <c r="J7" s="346"/>
      <c r="K7" s="346"/>
      <c r="L7" s="346"/>
      <c r="M7" s="346"/>
      <c r="N7" s="347"/>
      <c r="O7" s="345" t="s">
        <v>141</v>
      </c>
      <c r="P7" s="346"/>
      <c r="Q7" s="346"/>
      <c r="R7" s="346"/>
      <c r="S7" s="346"/>
      <c r="T7" s="346"/>
      <c r="U7" s="346"/>
      <c r="V7" s="346"/>
      <c r="W7" s="347"/>
      <c r="X7" s="345" t="s">
        <v>142</v>
      </c>
      <c r="Y7" s="346"/>
      <c r="Z7" s="346"/>
      <c r="AA7" s="346"/>
      <c r="AB7" s="346"/>
      <c r="AC7" s="346"/>
      <c r="AD7" s="347"/>
      <c r="AE7" s="345" t="s">
        <v>34</v>
      </c>
      <c r="AF7" s="346"/>
      <c r="AG7" s="346"/>
      <c r="AH7" s="346"/>
      <c r="AI7" s="346"/>
      <c r="AJ7" s="34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384" t="s">
        <v>0</v>
      </c>
      <c r="B8" s="369" t="s">
        <v>2</v>
      </c>
      <c r="C8" s="371" t="s">
        <v>3</v>
      </c>
      <c r="D8" s="371" t="s">
        <v>42</v>
      </c>
      <c r="E8" s="386" t="s">
        <v>1</v>
      </c>
      <c r="F8" s="366" t="s">
        <v>50</v>
      </c>
      <c r="G8" s="371" t="s">
        <v>135</v>
      </c>
      <c r="H8" s="372" t="s">
        <v>33</v>
      </c>
      <c r="I8" s="368" t="s">
        <v>5</v>
      </c>
      <c r="J8" s="366" t="s">
        <v>87</v>
      </c>
      <c r="K8" s="366" t="s">
        <v>92</v>
      </c>
      <c r="L8" s="367" t="s">
        <v>45</v>
      </c>
      <c r="M8" s="368" t="s">
        <v>5</v>
      </c>
      <c r="N8" s="371" t="s">
        <v>48</v>
      </c>
      <c r="O8" s="387" t="s">
        <v>11</v>
      </c>
      <c r="P8" s="365" t="s">
        <v>163</v>
      </c>
      <c r="Q8" s="366" t="s">
        <v>12</v>
      </c>
      <c r="R8" s="365" t="s">
        <v>8</v>
      </c>
      <c r="S8" s="365"/>
      <c r="T8" s="365"/>
      <c r="U8" s="365"/>
      <c r="V8" s="365"/>
      <c r="W8" s="365"/>
      <c r="X8" s="392" t="s">
        <v>138</v>
      </c>
      <c r="Y8" s="392" t="s">
        <v>46</v>
      </c>
      <c r="Z8" s="392" t="s">
        <v>5</v>
      </c>
      <c r="AA8" s="392" t="s">
        <v>47</v>
      </c>
      <c r="AB8" s="392" t="s">
        <v>5</v>
      </c>
      <c r="AC8" s="392" t="s">
        <v>49</v>
      </c>
      <c r="AD8" s="387" t="s">
        <v>29</v>
      </c>
      <c r="AE8" s="365" t="s">
        <v>34</v>
      </c>
      <c r="AF8" s="365" t="s">
        <v>35</v>
      </c>
      <c r="AG8" s="365" t="s">
        <v>36</v>
      </c>
      <c r="AH8" s="365" t="s">
        <v>38</v>
      </c>
      <c r="AI8" s="365" t="s">
        <v>37</v>
      </c>
      <c r="AJ8" s="365" t="s">
        <v>39</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94.5" customHeight="1" x14ac:dyDescent="0.25">
      <c r="A9" s="385"/>
      <c r="B9" s="370"/>
      <c r="C9" s="366"/>
      <c r="D9" s="366"/>
      <c r="E9" s="370"/>
      <c r="F9" s="372"/>
      <c r="G9" s="366"/>
      <c r="H9" s="372"/>
      <c r="I9" s="368"/>
      <c r="J9" s="372"/>
      <c r="K9" s="372"/>
      <c r="L9" s="368"/>
      <c r="M9" s="368"/>
      <c r="N9" s="366"/>
      <c r="O9" s="388"/>
      <c r="P9" s="366"/>
      <c r="Q9" s="372"/>
      <c r="R9" s="229" t="s">
        <v>13</v>
      </c>
      <c r="S9" s="229" t="s">
        <v>17</v>
      </c>
      <c r="T9" s="229" t="s">
        <v>28</v>
      </c>
      <c r="U9" s="229" t="s">
        <v>18</v>
      </c>
      <c r="V9" s="229" t="s">
        <v>21</v>
      </c>
      <c r="W9" s="229" t="s">
        <v>24</v>
      </c>
      <c r="X9" s="387"/>
      <c r="Y9" s="387"/>
      <c r="Z9" s="387"/>
      <c r="AA9" s="387"/>
      <c r="AB9" s="387"/>
      <c r="AC9" s="387"/>
      <c r="AD9" s="388"/>
      <c r="AE9" s="366"/>
      <c r="AF9" s="366"/>
      <c r="AG9" s="366"/>
      <c r="AH9" s="366"/>
      <c r="AI9" s="366"/>
      <c r="AJ9" s="366"/>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3" customFormat="1" ht="289.5" customHeight="1" x14ac:dyDescent="0.25">
      <c r="A10" s="178">
        <v>38</v>
      </c>
      <c r="B10" s="220" t="s">
        <v>134</v>
      </c>
      <c r="C10" s="254" t="s">
        <v>217</v>
      </c>
      <c r="D10" s="255" t="s">
        <v>218</v>
      </c>
      <c r="E10" s="256" t="s">
        <v>219</v>
      </c>
      <c r="F10" s="220" t="s">
        <v>124</v>
      </c>
      <c r="G10" s="185">
        <v>1</v>
      </c>
      <c r="H10" s="186" t="str">
        <f>IF(G10&lt;=0,"",IF(G10&lt;=2,"Muy Baja",IF(G10&lt;=24,"Baja",IF(G10&lt;=500,"Media",IF(G10&lt;=5000,"Alta","Muy Alta")))))</f>
        <v>Muy Baja</v>
      </c>
      <c r="I10" s="187">
        <f>IF(H10="","",IF(H10="Muy Baja",0.2,IF(H10="Baja",0.4,IF(H10="Media",0.6,IF(H10="Alta",0.8,IF(H10="Muy Alta",1,))))))</f>
        <v>0.2</v>
      </c>
      <c r="J10" s="188" t="s">
        <v>146</v>
      </c>
      <c r="K10" s="187" t="str">
        <f>IF(NOT(ISERROR(MATCH(J10,'Tabla Impacto'!$B$221:$B$223,0))),'Tabla Impacto'!$F$223&amp;"Por favor no seleccionar los criterios de impacto(Afectación Económica o presupuestal y Pérdida Reputacional)",J10)</f>
        <v xml:space="preserve">     Afectación menor a 10 SMLMV .</v>
      </c>
      <c r="L10" s="186" t="str">
        <f>IF(OR(K10='Tabla Impacto'!$C$11,K10='Tabla Impacto'!$D$11),"Leve",IF(OR(K10='Tabla Impacto'!$C$12,K10='Tabla Impacto'!$D$12),"Menor",IF(OR(K10='Tabla Impacto'!$C$13,K10='Tabla Impacto'!$D$13),"Moderado",IF(OR(K10='Tabla Impacto'!$C$14,K10='Tabla Impacto'!$D$14),"Mayor",IF(OR(K10='Tabla Impacto'!$C$15,K10='Tabla Impacto'!$D$15),"Catastrófico","")))))</f>
        <v>Leve</v>
      </c>
      <c r="M10" s="187">
        <f>IF(L10="","",IF(L10="Leve",0.2,IF(L10="Menor",0.4,IF(L10="Moderado",0.6,IF(L10="Mayor",0.8,IF(L10="Catastrófico",1,))))))</f>
        <v>0.2</v>
      </c>
      <c r="N10" s="18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78">
        <v>38</v>
      </c>
      <c r="P10" s="257" t="s">
        <v>223</v>
      </c>
      <c r="Q10" s="179" t="s">
        <v>4</v>
      </c>
      <c r="R10" s="180" t="s">
        <v>14</v>
      </c>
      <c r="S10" s="180" t="s">
        <v>9</v>
      </c>
      <c r="T10" s="181" t="str">
        <f>IF(AND(R10="Preventivo",S10="Automático"),"50%",IF(AND(R10="Preventivo",S10="Manual"),"40%",IF(AND(R10="Detectivo",S10="Automático"),"40%",IF(AND(R10="Detectivo",S10="Manual"),"30%",IF(AND(R10="Correctivo",S10="Automático"),"35%",IF(AND(R10="Correctivo",S10="Manual"),"25%",""))))))</f>
        <v>40%</v>
      </c>
      <c r="U10" s="180" t="s">
        <v>19</v>
      </c>
      <c r="V10" s="180" t="s">
        <v>22</v>
      </c>
      <c r="W10" s="180" t="s">
        <v>120</v>
      </c>
      <c r="X10" s="182">
        <f>IFERROR(IF(Q10="Probabilidad",(I10-(+I10*T10)),IF(Q10="Impacto",I10,"")),"")</f>
        <v>0.12</v>
      </c>
      <c r="Y10" s="183" t="str">
        <f>IFERROR(IF(X10="","",IF(X10&lt;=0.2,"Muy Baja",IF(X10&lt;=0.4,"Baja",IF(X10&lt;=0.6,"Media",IF(X10&lt;=0.8,"Alta","Muy Alta"))))),"")</f>
        <v>Muy Baja</v>
      </c>
      <c r="Z10" s="181">
        <f>+X10</f>
        <v>0.12</v>
      </c>
      <c r="AA10" s="183" t="str">
        <f>IFERROR(IF(AB10="","",IF(AB10&lt;=0.2,"Leve",IF(AB10&lt;=0.4,"Menor",IF(AB10&lt;=0.6,"Moderado",IF(AB10&lt;=0.8,"Mayor","Catastrófico"))))),"")</f>
        <v>Leve</v>
      </c>
      <c r="AB10" s="181">
        <f>IFERROR(IF(Q10="Impacto",(M10-(+M10*T10)),IF(Q10="Probabilidad",M10,"")),"")</f>
        <v>0.2</v>
      </c>
      <c r="AC10" s="18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80" t="s">
        <v>32</v>
      </c>
      <c r="AE10" s="258" t="s">
        <v>224</v>
      </c>
      <c r="AF10" s="310" t="s">
        <v>225</v>
      </c>
      <c r="AG10" s="253" t="s">
        <v>214</v>
      </c>
      <c r="AH10" s="253" t="s">
        <v>216</v>
      </c>
      <c r="AI10" s="259" t="s">
        <v>215</v>
      </c>
      <c r="AJ10" s="185" t="s">
        <v>41</v>
      </c>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row>
    <row r="11" spans="1:68" ht="151.5" hidden="1" customHeight="1" outlineLevel="1" x14ac:dyDescent="0.3">
      <c r="A11" s="151"/>
      <c r="B11" s="148"/>
      <c r="C11" s="226"/>
      <c r="D11" s="226"/>
      <c r="E11" s="227"/>
      <c r="F11" s="152"/>
      <c r="G11" s="154"/>
      <c r="H11" s="156"/>
      <c r="I11" s="158"/>
      <c r="J11" s="160"/>
      <c r="K11" s="158">
        <f>IF(NOT(ISERROR(MATCH(J11,_xlfn.ANCHORARRAY(E22),0))),I24&amp;"Por favor no seleccionar los criterios de impacto",J11)</f>
        <v>0</v>
      </c>
      <c r="L11" s="156"/>
      <c r="M11" s="158"/>
      <c r="N11" s="162"/>
      <c r="O11" s="140"/>
      <c r="P11" s="228"/>
      <c r="Q11" s="165" t="str">
        <f>IF(OR(R11="Preventivo",R11="Detectivo"),"Probabilidad",IF(R11="Correctivo","Impacto",""))</f>
        <v/>
      </c>
      <c r="R11" s="166"/>
      <c r="S11" s="166"/>
      <c r="T11" s="167" t="str">
        <f t="shared" ref="T11:T15" si="0">IF(AND(R11="Preventivo",S11="Automático"),"50%",IF(AND(R11="Preventivo",S11="Manual"),"40%",IF(AND(R11="Detectivo",S11="Automático"),"40%",IF(AND(R11="Detectivo",S11="Manual"),"30%",IF(AND(R11="Correctivo",S11="Automático"),"35%",IF(AND(R11="Correctivo",S11="Manual"),"25%",""))))))</f>
        <v/>
      </c>
      <c r="U11" s="166"/>
      <c r="V11" s="166"/>
      <c r="W11" s="166"/>
      <c r="X11" s="168" t="str">
        <f>IFERROR(IF(AND(Q10="Probabilidad",Q11="Probabilidad"),(Z10-(+Z10*T11)),IF(Q11="Probabilidad",(I10-(+I10*T11)),IF(Q11="Impacto",Z10,""))),"")</f>
        <v/>
      </c>
      <c r="Y11" s="169" t="str">
        <f t="shared" ref="Y11:Y69" si="1">IFERROR(IF(X11="","",IF(X11&lt;=0.2,"Muy Baja",IF(X11&lt;=0.4,"Baja",IF(X11&lt;=0.6,"Media",IF(X11&lt;=0.8,"Alta","Muy Alta"))))),"")</f>
        <v/>
      </c>
      <c r="Z11" s="170" t="str">
        <f t="shared" ref="Z11:Z15" si="2">+X11</f>
        <v/>
      </c>
      <c r="AA11" s="169" t="str">
        <f t="shared" ref="AA11:AA69" si="3">IFERROR(IF(AB11="","",IF(AB11&lt;=0.2,"Leve",IF(AB11&lt;=0.4,"Menor",IF(AB11&lt;=0.6,"Moderado",IF(AB11&lt;=0.8,"Mayor","Catastrófico"))))),"")</f>
        <v/>
      </c>
      <c r="AB11" s="170" t="str">
        <f>IFERROR(IF(AND(Q10="Impacto",Q11="Impacto"),(AB10-(+AB10*T11)),IF(Q11="Impacto",($M$10-(+$M$10*T11)),IF(Q11="Probabilidad",AB10,""))),"")</f>
        <v/>
      </c>
      <c r="AC11" s="17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72"/>
      <c r="AE11" s="230"/>
      <c r="AF11" s="311"/>
      <c r="AG11" s="214"/>
      <c r="AH11" s="214"/>
      <c r="AI11" s="213"/>
      <c r="AJ11" s="144"/>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ht="151.5" hidden="1" customHeight="1" outlineLevel="1" x14ac:dyDescent="0.3">
      <c r="A12" s="151"/>
      <c r="B12" s="148"/>
      <c r="C12" s="145"/>
      <c r="D12" s="146"/>
      <c r="E12" s="145"/>
      <c r="F12" s="152"/>
      <c r="G12" s="154"/>
      <c r="H12" s="156"/>
      <c r="I12" s="158"/>
      <c r="J12" s="160"/>
      <c r="K12" s="158">
        <f>IF(NOT(ISERROR(MATCH(J12,_xlfn.ANCHORARRAY(E23),0))),I25&amp;"Por favor no seleccionar los criterios de impacto",J12)</f>
        <v>0</v>
      </c>
      <c r="L12" s="156"/>
      <c r="M12" s="158"/>
      <c r="N12" s="162"/>
      <c r="O12" s="124"/>
      <c r="P12" s="137"/>
      <c r="Q12" s="126" t="str">
        <f>IF(OR(R12="Preventivo",R12="Detectivo"),"Probabilidad",IF(R12="Correctivo","Impacto",""))</f>
        <v/>
      </c>
      <c r="R12" s="127"/>
      <c r="S12" s="127"/>
      <c r="T12" s="128" t="str">
        <f t="shared" si="0"/>
        <v/>
      </c>
      <c r="U12" s="127"/>
      <c r="V12" s="127"/>
      <c r="W12" s="127"/>
      <c r="X12" s="129" t="str">
        <f>IFERROR(IF(AND(Q11="Probabilidad",Q12="Probabilidad"),(Z11-(+Z11*T12)),IF(AND(Q11="Impacto",Q12="Probabilidad"),(Z10-(+Z10*T12)),IF(Q12="Impacto",Z11,""))),"")</f>
        <v/>
      </c>
      <c r="Y12" s="130" t="str">
        <f t="shared" si="1"/>
        <v/>
      </c>
      <c r="Z12" s="131" t="str">
        <f t="shared" si="2"/>
        <v/>
      </c>
      <c r="AA12" s="130" t="str">
        <f t="shared" si="3"/>
        <v/>
      </c>
      <c r="AB12" s="131" t="str">
        <f>IFERROR(IF(AND(Q11="Impacto",Q12="Impacto"),(AB11-(+AB11*T12)),IF(AND(Q11="Probabilidad",Q12="Impacto"),(AB10-(+AB10*T12)),IF(Q12="Probabilidad",AB11,""))),"")</f>
        <v/>
      </c>
      <c r="AC12" s="132" t="str">
        <f t="shared" si="4"/>
        <v/>
      </c>
      <c r="AD12" s="133"/>
      <c r="AE12" s="134"/>
      <c r="AF12" s="135"/>
      <c r="AG12" s="136"/>
      <c r="AH12" s="136"/>
      <c r="AI12" s="134"/>
      <c r="AJ12" s="135"/>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ht="151.5" hidden="1" customHeight="1" outlineLevel="1" x14ac:dyDescent="0.3">
      <c r="A13" s="151"/>
      <c r="B13" s="148"/>
      <c r="C13" s="145"/>
      <c r="D13" s="146"/>
      <c r="E13" s="145"/>
      <c r="F13" s="152"/>
      <c r="G13" s="154"/>
      <c r="H13" s="156"/>
      <c r="I13" s="158"/>
      <c r="J13" s="160"/>
      <c r="K13" s="158">
        <f>IF(NOT(ISERROR(MATCH(J13,_xlfn.ANCHORARRAY(E24),0))),I26&amp;"Por favor no seleccionar los criterios de impacto",J13)</f>
        <v>0</v>
      </c>
      <c r="L13" s="156"/>
      <c r="M13" s="158"/>
      <c r="N13" s="162"/>
      <c r="O13" s="124"/>
      <c r="P13" s="125"/>
      <c r="Q13" s="126" t="str">
        <f t="shared" ref="Q13:Q15" si="5">IF(OR(R13="Preventivo",R13="Detectivo"),"Probabilidad",IF(R13="Correctivo","Impacto",""))</f>
        <v/>
      </c>
      <c r="R13" s="127"/>
      <c r="S13" s="127"/>
      <c r="T13" s="128" t="str">
        <f t="shared" si="0"/>
        <v/>
      </c>
      <c r="U13" s="127"/>
      <c r="V13" s="127"/>
      <c r="W13" s="127"/>
      <c r="X13" s="129" t="str">
        <f t="shared" ref="X13:X15" si="6">IFERROR(IF(AND(Q12="Probabilidad",Q13="Probabilidad"),(Z12-(+Z12*T13)),IF(AND(Q12="Impacto",Q13="Probabilidad"),(Z11-(+Z11*T13)),IF(Q13="Impacto",Z12,""))),"")</f>
        <v/>
      </c>
      <c r="Y13" s="130" t="str">
        <f t="shared" si="1"/>
        <v/>
      </c>
      <c r="Z13" s="131" t="str">
        <f t="shared" si="2"/>
        <v/>
      </c>
      <c r="AA13" s="130" t="str">
        <f t="shared" si="3"/>
        <v/>
      </c>
      <c r="AB13" s="131" t="str">
        <f t="shared" ref="AB13:AB15" si="7">IFERROR(IF(AND(Q12="Impacto",Q13="Impacto"),(AB12-(+AB12*T13)),IF(AND(Q12="Probabilidad",Q13="Impacto"),(AB11-(+AB11*T13)),IF(Q13="Probabilidad",AB12,""))),"")</f>
        <v/>
      </c>
      <c r="AC13" s="132"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3"/>
      <c r="AE13" s="134"/>
      <c r="AF13" s="135"/>
      <c r="AG13" s="136"/>
      <c r="AH13" s="136"/>
      <c r="AI13" s="134"/>
      <c r="AJ13" s="135"/>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151.5" hidden="1" customHeight="1" outlineLevel="1" x14ac:dyDescent="0.3">
      <c r="A14" s="151"/>
      <c r="B14" s="148"/>
      <c r="C14" s="145"/>
      <c r="D14" s="146"/>
      <c r="E14" s="145"/>
      <c r="F14" s="152"/>
      <c r="G14" s="154"/>
      <c r="H14" s="156"/>
      <c r="I14" s="158"/>
      <c r="J14" s="160"/>
      <c r="K14" s="158">
        <f>IF(NOT(ISERROR(MATCH(J14,_xlfn.ANCHORARRAY(E25),0))),I27&amp;"Por favor no seleccionar los criterios de impacto",J14)</f>
        <v>0</v>
      </c>
      <c r="L14" s="156"/>
      <c r="M14" s="158"/>
      <c r="N14" s="162"/>
      <c r="O14" s="124"/>
      <c r="P14" s="125"/>
      <c r="Q14" s="126" t="str">
        <f t="shared" si="5"/>
        <v/>
      </c>
      <c r="R14" s="127"/>
      <c r="S14" s="127"/>
      <c r="T14" s="128" t="str">
        <f t="shared" si="0"/>
        <v/>
      </c>
      <c r="U14" s="127"/>
      <c r="V14" s="127"/>
      <c r="W14" s="127"/>
      <c r="X14" s="129" t="str">
        <f t="shared" si="6"/>
        <v/>
      </c>
      <c r="Y14" s="130" t="str">
        <f t="shared" si="1"/>
        <v/>
      </c>
      <c r="Z14" s="131" t="str">
        <f t="shared" si="2"/>
        <v/>
      </c>
      <c r="AA14" s="130" t="str">
        <f t="shared" si="3"/>
        <v/>
      </c>
      <c r="AB14" s="131" t="str">
        <f t="shared" si="7"/>
        <v/>
      </c>
      <c r="AC14" s="132" t="str">
        <f t="shared" si="4"/>
        <v/>
      </c>
      <c r="AD14" s="133"/>
      <c r="AE14" s="134"/>
      <c r="AF14" s="135"/>
      <c r="AG14" s="136"/>
      <c r="AH14" s="136"/>
      <c r="AI14" s="134"/>
      <c r="AJ14" s="135"/>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151.5" hidden="1" customHeight="1" outlineLevel="1" x14ac:dyDescent="0.3">
      <c r="A15" s="151"/>
      <c r="B15" s="148"/>
      <c r="C15" s="147"/>
      <c r="D15" s="200"/>
      <c r="E15" s="147"/>
      <c r="F15" s="152"/>
      <c r="G15" s="154"/>
      <c r="H15" s="156"/>
      <c r="I15" s="158"/>
      <c r="J15" s="160"/>
      <c r="K15" s="158">
        <f>IF(NOT(ISERROR(MATCH(J15,_xlfn.ANCHORARRAY(E26),0))),I28&amp;"Por favor no seleccionar los criterios de impacto",J15)</f>
        <v>0</v>
      </c>
      <c r="L15" s="156"/>
      <c r="M15" s="158"/>
      <c r="N15" s="162"/>
      <c r="O15" s="139"/>
      <c r="P15" s="203"/>
      <c r="Q15" s="204" t="str">
        <f t="shared" si="5"/>
        <v/>
      </c>
      <c r="R15" s="133"/>
      <c r="S15" s="133"/>
      <c r="T15" s="131" t="str">
        <f t="shared" si="0"/>
        <v/>
      </c>
      <c r="U15" s="133"/>
      <c r="V15" s="133"/>
      <c r="W15" s="133"/>
      <c r="X15" s="205" t="str">
        <f t="shared" si="6"/>
        <v/>
      </c>
      <c r="Y15" s="206" t="str">
        <f t="shared" si="1"/>
        <v/>
      </c>
      <c r="Z15" s="131" t="str">
        <f t="shared" si="2"/>
        <v/>
      </c>
      <c r="AA15" s="206" t="str">
        <f t="shared" si="3"/>
        <v/>
      </c>
      <c r="AB15" s="131" t="str">
        <f t="shared" si="7"/>
        <v/>
      </c>
      <c r="AC15" s="207" t="str">
        <f t="shared" si="4"/>
        <v/>
      </c>
      <c r="AD15" s="133"/>
      <c r="AE15" s="141"/>
      <c r="AF15" s="143"/>
      <c r="AG15" s="208"/>
      <c r="AH15" s="208"/>
      <c r="AI15" s="141"/>
      <c r="AJ15" s="143"/>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151.5" customHeight="1" collapsed="1" x14ac:dyDescent="0.3">
      <c r="A16" s="364">
        <v>39</v>
      </c>
      <c r="B16" s="318" t="s">
        <v>133</v>
      </c>
      <c r="C16" s="379" t="s">
        <v>226</v>
      </c>
      <c r="D16" s="379" t="s">
        <v>227</v>
      </c>
      <c r="E16" s="379" t="s">
        <v>228</v>
      </c>
      <c r="F16" s="381" t="s">
        <v>126</v>
      </c>
      <c r="G16" s="319">
        <v>48</v>
      </c>
      <c r="H16" s="320" t="str">
        <f>IF(G16&lt;=0,"",IF(G16&lt;=2,"Muy Baja",IF(G16&lt;=24,"Baja",IF(G16&lt;=500,"Media",IF(G16&lt;=5000,"Alta","Muy Alta")))))</f>
        <v>Media</v>
      </c>
      <c r="I16" s="321">
        <f>IF(H16="","",IF(H16="Muy Baja",0.2,IF(H16="Baja",0.4,IF(H16="Media",0.6,IF(H16="Alta",0.8,IF(H16="Muy Alta",1,))))))</f>
        <v>0.6</v>
      </c>
      <c r="J16" s="322" t="s">
        <v>149</v>
      </c>
      <c r="K16" s="187" t="str">
        <f>IF(NOT(ISERROR(MATCH(J16,'Tabla Impacto'!$B$221:$B$223,0))),'Tabla Impacto'!$F$223&amp;"Por favor no seleccionar los criterios de impacto(Afectación Económica o presupuestal y Pérdida Reputacional)",J16)</f>
        <v xml:space="preserve">     Entre 50 y 100 SMLMV </v>
      </c>
      <c r="L16" s="320" t="str">
        <f>IF(OR(K16='Tabla Impacto'!$C$11,K16='Tabla Impacto'!$D$11),"Leve",IF(OR(K16='Tabla Impacto'!$C$12,K16='Tabla Impacto'!$D$12),"Menor",IF(OR(K16='Tabla Impacto'!$C$13,K16='Tabla Impacto'!$D$13),"Moderado",IF(OR(K16='Tabla Impacto'!$C$14,K16='Tabla Impacto'!$D$14),"Mayor",IF(OR(K16='Tabla Impacto'!$C$15,K16='Tabla Impacto'!$D$15),"Catastrófico","")))))</f>
        <v>Moderado</v>
      </c>
      <c r="M16" s="321">
        <f>IF(L16="","",IF(L16="Leve",0.2,IF(L16="Menor",0.4,IF(L16="Moderado",0.6,IF(L16="Mayor",0.8,IF(L16="Catastrófico",1,))))))</f>
        <v>0.6</v>
      </c>
      <c r="N16" s="323"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324">
        <v>39</v>
      </c>
      <c r="P16" s="308" t="s">
        <v>229</v>
      </c>
      <c r="Q16" s="325" t="s">
        <v>230</v>
      </c>
      <c r="R16" s="326" t="s">
        <v>14</v>
      </c>
      <c r="S16" s="326" t="s">
        <v>10</v>
      </c>
      <c r="T16" s="327" t="str">
        <f>IF(AND(R16="Preventivo",S16="Automático"),"50%",IF(AND(R16="Preventivo",S16="Manual"),"40%",IF(AND(R16="Detectivo",S16="Automático"),"40%",IF(AND(R16="Detectivo",S16="Manual"),"30%",IF(AND(R16="Correctivo",S16="Automático"),"35%",IF(AND(R16="Correctivo",S16="Manual"),"25%",""))))))</f>
        <v>50%</v>
      </c>
      <c r="U16" s="326" t="s">
        <v>19</v>
      </c>
      <c r="V16" s="326" t="s">
        <v>22</v>
      </c>
      <c r="W16" s="326" t="s">
        <v>119</v>
      </c>
      <c r="X16" s="182">
        <f>IFERROR(IF(Q16="Probabilidad",(I16-(+I16*T16)),IF(Q16="Impacto",I16,"")),"")</f>
        <v>0.6</v>
      </c>
      <c r="Y16" s="328" t="str">
        <f>IFERROR(IF(X16="","",IF(X16&lt;=0.2,"Muy Baja",IF(X16&lt;=0.4,"Baja",IF(X16&lt;=0.6,"Media",IF(X16&lt;=0.8,"Alta","Muy Alta"))))),"")</f>
        <v>Media</v>
      </c>
      <c r="Z16" s="327">
        <f>+X16</f>
        <v>0.6</v>
      </c>
      <c r="AA16" s="328" t="str">
        <f>IFERROR(IF(AB16="","",IF(AB16&lt;=0.2,"Leve",IF(AB16&lt;=0.4,"Menor",IF(AB16&lt;=0.6,"Moderado",IF(AB16&lt;=0.8,"Mayor","Catastrófico"))))),"")</f>
        <v>Menor</v>
      </c>
      <c r="AB16" s="327">
        <f>IFERROR(IF(Q16="Impacto",(M16-(+M16*T16)),IF(Q16="Probabilidad",M16,"")),"")</f>
        <v>0.3</v>
      </c>
      <c r="AC16" s="36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326" t="s">
        <v>32</v>
      </c>
      <c r="AE16" s="312" t="s">
        <v>231</v>
      </c>
      <c r="AF16" s="310" t="s">
        <v>232</v>
      </c>
      <c r="AG16" s="373" t="s">
        <v>214</v>
      </c>
      <c r="AH16" s="373" t="s">
        <v>216</v>
      </c>
      <c r="AI16" s="318" t="s">
        <v>215</v>
      </c>
      <c r="AJ16" s="319" t="s">
        <v>41</v>
      </c>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151.5" customHeight="1" x14ac:dyDescent="0.3">
      <c r="A17" s="364"/>
      <c r="B17" s="318"/>
      <c r="C17" s="380"/>
      <c r="D17" s="380"/>
      <c r="E17" s="380"/>
      <c r="F17" s="381"/>
      <c r="G17" s="319"/>
      <c r="H17" s="320"/>
      <c r="I17" s="321"/>
      <c r="J17" s="322"/>
      <c r="K17" s="187">
        <f>IF(NOT(ISERROR(MATCH(J17,_xlfn.ANCHORARRAY(E28),0))),I30&amp;"Por favor no seleccionar los criterios de impacto",J17)</f>
        <v>0</v>
      </c>
      <c r="L17" s="320"/>
      <c r="M17" s="321"/>
      <c r="N17" s="323"/>
      <c r="O17" s="324"/>
      <c r="P17" s="308"/>
      <c r="Q17" s="325"/>
      <c r="R17" s="326"/>
      <c r="S17" s="326"/>
      <c r="T17" s="327"/>
      <c r="U17" s="326"/>
      <c r="V17" s="326"/>
      <c r="W17" s="326"/>
      <c r="X17" s="182" t="str">
        <f>IFERROR(IF(AND(Q16="Probabilidad",Q17="Probabilidad"),(Z16-(+Z16*T17)),IF(Q17="Probabilidad",(I16-(+I16*T17)),IF(Q17="Impacto",Z16,""))),"")</f>
        <v/>
      </c>
      <c r="Y17" s="328"/>
      <c r="Z17" s="327"/>
      <c r="AA17" s="328"/>
      <c r="AB17" s="327"/>
      <c r="AC17" s="363"/>
      <c r="AD17" s="326"/>
      <c r="AE17" s="312"/>
      <c r="AF17" s="311"/>
      <c r="AG17" s="374"/>
      <c r="AH17" s="374"/>
      <c r="AI17" s="318"/>
      <c r="AJ17" s="319"/>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151.5" hidden="1" customHeight="1" outlineLevel="1" x14ac:dyDescent="0.3">
      <c r="A18" s="199"/>
      <c r="B18" s="148"/>
      <c r="C18" s="201"/>
      <c r="D18" s="201"/>
      <c r="E18" s="201"/>
      <c r="F18" s="201"/>
      <c r="G18" s="193"/>
      <c r="H18" s="194"/>
      <c r="I18" s="195"/>
      <c r="J18" s="196"/>
      <c r="K18" s="195">
        <f>IF(NOT(ISERROR(MATCH(J18,_xlfn.ANCHORARRAY(E29),0))),I31&amp;"Por favor no seleccionar los criterios de impacto",J18)</f>
        <v>0</v>
      </c>
      <c r="L18" s="194"/>
      <c r="M18" s="195"/>
      <c r="N18" s="198"/>
      <c r="O18" s="150"/>
      <c r="P18" s="378"/>
      <c r="Q18" s="165" t="str">
        <f>IF(OR(R18="Preventivo",R18="Detectivo"),"Probabilidad",IF(R18="Correctivo","Impacto",""))</f>
        <v/>
      </c>
      <c r="R18" s="166"/>
      <c r="S18" s="166"/>
      <c r="T18" s="167" t="str">
        <f t="shared" ref="T18:T21" si="8">IF(AND(R18="Preventivo",S18="Automático"),"50%",IF(AND(R18="Preventivo",S18="Manual"),"40%",IF(AND(R18="Detectivo",S18="Automático"),"40%",IF(AND(R18="Detectivo",S18="Manual"),"30%",IF(AND(R18="Correctivo",S18="Automático"),"35%",IF(AND(R18="Correctivo",S18="Manual"),"25%",""))))))</f>
        <v/>
      </c>
      <c r="U18" s="166"/>
      <c r="V18" s="166"/>
      <c r="W18" s="166"/>
      <c r="X18" s="168" t="str">
        <f>IFERROR(IF(AND(Q17="Probabilidad",Q18="Probabilidad"),(Z17-(+Z17*T18)),IF(AND(Q17="Impacto",Q18="Probabilidad"),(Z16-(+Z16*T18)),IF(Q18="Impacto",Z17,""))),"")</f>
        <v/>
      </c>
      <c r="Y18" s="169" t="str">
        <f t="shared" si="1"/>
        <v/>
      </c>
      <c r="Z18" s="170" t="str">
        <f t="shared" ref="Z18:Z21" si="9">+X18</f>
        <v/>
      </c>
      <c r="AA18" s="169" t="str">
        <f t="shared" si="3"/>
        <v/>
      </c>
      <c r="AB18" s="170" t="str">
        <f>IFERROR(IF(AND(Q17="Impacto",Q18="Impacto"),(AB17-(+AB17*T18)),IF(AND(Q17="Probabilidad",Q18="Impacto"),(AB16-(+AB16*T18)),IF(Q18="Probabilidad",AB17,""))),"")</f>
        <v/>
      </c>
      <c r="AC18" s="171"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72"/>
      <c r="AE18" s="142"/>
      <c r="AF18" s="144"/>
      <c r="AG18" s="173"/>
      <c r="AH18" s="173"/>
      <c r="AI18" s="142"/>
      <c r="AJ18" s="144"/>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151.5" hidden="1" customHeight="1" outlineLevel="1" x14ac:dyDescent="0.3">
      <c r="A19" s="199"/>
      <c r="B19" s="148"/>
      <c r="C19" s="192"/>
      <c r="D19" s="192"/>
      <c r="E19" s="192"/>
      <c r="F19" s="192"/>
      <c r="G19" s="193"/>
      <c r="H19" s="194"/>
      <c r="I19" s="195"/>
      <c r="J19" s="196"/>
      <c r="K19" s="195">
        <f>IF(NOT(ISERROR(MATCH(J19,_xlfn.ANCHORARRAY(E30),0))),I32&amp;"Por favor no seleccionar los criterios de impacto",J19)</f>
        <v>0</v>
      </c>
      <c r="L19" s="194"/>
      <c r="M19" s="195"/>
      <c r="N19" s="198"/>
      <c r="O19" s="190"/>
      <c r="P19" s="318"/>
      <c r="Q19" s="126" t="str">
        <f t="shared" ref="Q19:Q21" si="11">IF(OR(R19="Preventivo",R19="Detectivo"),"Probabilidad",IF(R19="Correctivo","Impacto",""))</f>
        <v/>
      </c>
      <c r="R19" s="127"/>
      <c r="S19" s="127"/>
      <c r="T19" s="128" t="str">
        <f t="shared" si="8"/>
        <v/>
      </c>
      <c r="U19" s="127"/>
      <c r="V19" s="127"/>
      <c r="W19" s="127"/>
      <c r="X19" s="129" t="str">
        <f t="shared" ref="X19:X21" si="12">IFERROR(IF(AND(Q18="Probabilidad",Q19="Probabilidad"),(Z18-(+Z18*T19)),IF(AND(Q18="Impacto",Q19="Probabilidad"),(Z17-(+Z17*T19)),IF(Q19="Impacto",Z18,""))),"")</f>
        <v/>
      </c>
      <c r="Y19" s="130" t="str">
        <f t="shared" si="1"/>
        <v/>
      </c>
      <c r="Z19" s="131" t="str">
        <f t="shared" si="9"/>
        <v/>
      </c>
      <c r="AA19" s="130" t="str">
        <f t="shared" si="3"/>
        <v/>
      </c>
      <c r="AB19" s="131" t="str">
        <f t="shared" ref="AB19:AB21" si="13">IFERROR(IF(AND(Q18="Impacto",Q19="Impacto"),(AB18-(+AB18*T19)),IF(AND(Q18="Probabilidad",Q19="Impacto"),(AB17-(+AB17*T19)),IF(Q19="Probabilidad",AB18,""))),"")</f>
        <v/>
      </c>
      <c r="AC19" s="132"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3"/>
      <c r="AE19" s="134"/>
      <c r="AF19" s="135"/>
      <c r="AG19" s="136"/>
      <c r="AH19" s="136"/>
      <c r="AI19" s="134"/>
      <c r="AJ19" s="135"/>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151.5" hidden="1" customHeight="1" outlineLevel="1" x14ac:dyDescent="0.3">
      <c r="A20" s="199"/>
      <c r="B20" s="148"/>
      <c r="C20" s="197"/>
      <c r="D20" s="197"/>
      <c r="E20" s="197"/>
      <c r="F20" s="197"/>
      <c r="G20" s="193"/>
      <c r="H20" s="194"/>
      <c r="I20" s="195"/>
      <c r="J20" s="196"/>
      <c r="K20" s="195">
        <f>IF(NOT(ISERROR(MATCH(J20,_xlfn.ANCHORARRAY(E31),0))),I33&amp;"Por favor no seleccionar los criterios de impacto",J20)</f>
        <v>0</v>
      </c>
      <c r="L20" s="194"/>
      <c r="M20" s="195"/>
      <c r="N20" s="198"/>
      <c r="O20" s="190"/>
      <c r="P20" s="191"/>
      <c r="Q20" s="126" t="str">
        <f t="shared" si="11"/>
        <v/>
      </c>
      <c r="R20" s="127"/>
      <c r="S20" s="127"/>
      <c r="T20" s="128" t="str">
        <f t="shared" si="8"/>
        <v/>
      </c>
      <c r="U20" s="127"/>
      <c r="V20" s="127"/>
      <c r="W20" s="127"/>
      <c r="X20" s="129" t="str">
        <f t="shared" si="12"/>
        <v/>
      </c>
      <c r="Y20" s="130" t="str">
        <f t="shared" si="1"/>
        <v/>
      </c>
      <c r="Z20" s="131" t="str">
        <f t="shared" si="9"/>
        <v/>
      </c>
      <c r="AA20" s="130" t="str">
        <f t="shared" si="3"/>
        <v/>
      </c>
      <c r="AB20" s="131" t="str">
        <f t="shared" si="13"/>
        <v/>
      </c>
      <c r="AC20" s="132"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3"/>
      <c r="AE20" s="134"/>
      <c r="AF20" s="135"/>
      <c r="AG20" s="136"/>
      <c r="AH20" s="136"/>
      <c r="AI20" s="134"/>
      <c r="AJ20" s="135"/>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151.5" hidden="1" customHeight="1" outlineLevel="1" x14ac:dyDescent="0.3">
      <c r="A21" s="199"/>
      <c r="B21" s="148"/>
      <c r="C21" s="211"/>
      <c r="D21" s="211"/>
      <c r="E21" s="211"/>
      <c r="F21" s="211"/>
      <c r="G21" s="193"/>
      <c r="H21" s="194"/>
      <c r="I21" s="195"/>
      <c r="J21" s="196"/>
      <c r="K21" s="195">
        <f>IF(NOT(ISERROR(MATCH(J21,_xlfn.ANCHORARRAY(E32),0))),I34&amp;"Por favor no seleccionar los criterios de impacto",J21)</f>
        <v>0</v>
      </c>
      <c r="L21" s="194"/>
      <c r="M21" s="195"/>
      <c r="N21" s="198"/>
      <c r="O21" s="149"/>
      <c r="P21" s="212"/>
      <c r="Q21" s="204" t="str">
        <f t="shared" si="11"/>
        <v/>
      </c>
      <c r="R21" s="133"/>
      <c r="S21" s="133"/>
      <c r="T21" s="131" t="str">
        <f t="shared" si="8"/>
        <v/>
      </c>
      <c r="U21" s="133"/>
      <c r="V21" s="133"/>
      <c r="W21" s="133"/>
      <c r="X21" s="205" t="str">
        <f t="shared" si="12"/>
        <v/>
      </c>
      <c r="Y21" s="206" t="str">
        <f t="shared" si="1"/>
        <v/>
      </c>
      <c r="Z21" s="131" t="str">
        <f t="shared" si="9"/>
        <v/>
      </c>
      <c r="AA21" s="206" t="str">
        <f t="shared" si="3"/>
        <v/>
      </c>
      <c r="AB21" s="131" t="str">
        <f t="shared" si="13"/>
        <v/>
      </c>
      <c r="AC21" s="207" t="str">
        <f t="shared" si="14"/>
        <v/>
      </c>
      <c r="AD21" s="133"/>
      <c r="AE21" s="141"/>
      <c r="AF21" s="143"/>
      <c r="AG21" s="208"/>
      <c r="AH21" s="208"/>
      <c r="AI21" s="141"/>
      <c r="AJ21" s="143"/>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ht="278.25" customHeight="1" collapsed="1" x14ac:dyDescent="0.3">
      <c r="A22" s="178">
        <v>40</v>
      </c>
      <c r="B22" s="220" t="s">
        <v>134</v>
      </c>
      <c r="C22" s="254" t="s">
        <v>233</v>
      </c>
      <c r="D22" s="254" t="s">
        <v>234</v>
      </c>
      <c r="E22" s="258" t="s">
        <v>235</v>
      </c>
      <c r="F22" s="220" t="s">
        <v>123</v>
      </c>
      <c r="G22" s="185">
        <v>36</v>
      </c>
      <c r="H22" s="186" t="str">
        <f>IF(G22&lt;=0,"",IF(G22&lt;=2,"Muy Baja",IF(G22&lt;=24,"Baja",IF(G22&lt;=500,"Media",IF(G22&lt;=5000,"Alta","Muy Alta")))))</f>
        <v>Media</v>
      </c>
      <c r="I22" s="187">
        <f>IF(H22="","",IF(H22="Muy Baja",0.2,IF(H22="Baja",0.4,IF(H22="Media",0.6,IF(H22="Alta",0.8,IF(H22="Muy Alta",1,))))))</f>
        <v>0.6</v>
      </c>
      <c r="J22" s="188" t="s">
        <v>149</v>
      </c>
      <c r="K22" s="377" t="str">
        <f>IF(NOT(ISERROR(MATCH(J22,'Tabla Impacto'!$B$221:$B$223,0))),'Tabla Impacto'!$F$223&amp;"Por favor no seleccionar los criterios de impacto(Afectación Económica o presupuestal y Pérdida Reputacional)",J22)</f>
        <v xml:space="preserve">     Entre 50 y 100 SMLMV </v>
      </c>
      <c r="L22" s="186" t="str">
        <f>IF(OR(K22='Tabla Impacto'!$C$11,K22='Tabla Impacto'!$D$11),"Leve",IF(OR(K22='Tabla Impacto'!$C$12,K22='Tabla Impacto'!$D$12),"Menor",IF(OR(K22='Tabla Impacto'!$C$13,K22='Tabla Impacto'!$D$13),"Moderado",IF(OR(K22='Tabla Impacto'!$C$14,K22='Tabla Impacto'!$D$14),"Mayor",IF(OR(K22='Tabla Impacto'!$C$15,K22='Tabla Impacto'!$D$15),"Catastrófico","")))))</f>
        <v>Moderado</v>
      </c>
      <c r="M22" s="187">
        <f>IF(L22="","",IF(L22="Leve",0.2,IF(L22="Menor",0.4,IF(L22="Moderado",0.6,IF(L22="Mayor",0.8,IF(L22="Catastrófico",1,))))))</f>
        <v>0.6</v>
      </c>
      <c r="N22" s="18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78">
        <v>40</v>
      </c>
      <c r="P22" s="308" t="s">
        <v>236</v>
      </c>
      <c r="Q22" s="179" t="s">
        <v>230</v>
      </c>
      <c r="R22" s="180" t="s">
        <v>15</v>
      </c>
      <c r="S22" s="180" t="s">
        <v>10</v>
      </c>
      <c r="T22" s="181" t="str">
        <f>IF(AND(R22="Preventivo",S22="Automático"),"50%",IF(AND(R22="Preventivo",S22="Manual"),"40%",IF(AND(R22="Detectivo",S22="Automático"),"40%",IF(AND(R22="Detectivo",S22="Manual"),"30%",IF(AND(R22="Correctivo",S22="Automático"),"35%",IF(AND(R22="Correctivo",S22="Manual"),"25%",""))))))</f>
        <v>40%</v>
      </c>
      <c r="U22" s="180" t="s">
        <v>19</v>
      </c>
      <c r="V22" s="180" t="s">
        <v>22</v>
      </c>
      <c r="W22" s="180" t="s">
        <v>119</v>
      </c>
      <c r="X22" s="182">
        <f>IFERROR(IF(Q22="Probabilidad",(I22-(+I22*T22)),IF(Q22="Impacto",I22,"")),"")</f>
        <v>0.6</v>
      </c>
      <c r="Y22" s="183" t="str">
        <f>IFERROR(IF(X22="","",IF(X22&lt;=0.2,"Muy Baja",IF(X22&lt;=0.4,"Baja",IF(X22&lt;=0.6,"Media",IF(X22&lt;=0.8,"Alta","Muy Alta"))))),"")</f>
        <v>Media</v>
      </c>
      <c r="Z22" s="181">
        <f>+X22</f>
        <v>0.6</v>
      </c>
      <c r="AA22" s="183" t="str">
        <f>IFERROR(IF(AB22="","",IF(AB22&lt;=0.2,"Leve",IF(AB22&lt;=0.4,"Menor",IF(AB22&lt;=0.6,"Moderado",IF(AB22&lt;=0.8,"Mayor","Catastrófico"))))),"")</f>
        <v>Menor</v>
      </c>
      <c r="AB22" s="181">
        <f>IFERROR(IF(Q22="Impacto",(M22-(+M22*T22)),IF(Q22="Probabilidad",M22,"")),"")</f>
        <v>0.36</v>
      </c>
      <c r="AC22" s="184"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80" t="s">
        <v>32</v>
      </c>
      <c r="AE22" s="312" t="s">
        <v>237</v>
      </c>
      <c r="AF22" s="310" t="s">
        <v>232</v>
      </c>
      <c r="AG22" s="313" t="s">
        <v>238</v>
      </c>
      <c r="AH22" s="313" t="s">
        <v>239</v>
      </c>
      <c r="AI22" s="254" t="s">
        <v>215</v>
      </c>
      <c r="AJ22" s="185" t="s">
        <v>41</v>
      </c>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row>
    <row r="23" spans="1:68" ht="151.5" hidden="1" customHeight="1" outlineLevel="1" x14ac:dyDescent="0.3">
      <c r="A23" s="178"/>
      <c r="B23" s="242"/>
      <c r="C23" s="220"/>
      <c r="D23" s="220"/>
      <c r="E23" s="175"/>
      <c r="F23" s="242"/>
      <c r="G23" s="240"/>
      <c r="H23" s="244"/>
      <c r="I23" s="245"/>
      <c r="J23" s="246"/>
      <c r="K23" s="377">
        <f t="shared" ref="K23:K27" si="15">IF(NOT(ISERROR(MATCH(J23,_xlfn.ANCHORARRAY(E34),0))),I36&amp;"Por favor no seleccionar los criterios de impacto",J23)</f>
        <v>0</v>
      </c>
      <c r="L23" s="244"/>
      <c r="M23" s="245"/>
      <c r="N23" s="247"/>
      <c r="O23" s="233"/>
      <c r="P23" s="308"/>
      <c r="Q23" s="234" t="str">
        <f>IF(OR(R23="Preventivo",R23="Detectivo"),"Probabilidad",IF(R23="Correctivo","Impacto",""))</f>
        <v/>
      </c>
      <c r="R23" s="235"/>
      <c r="S23" s="235"/>
      <c r="T23" s="236" t="str">
        <f t="shared" ref="T23:T27" si="16">IF(AND(R23="Preventivo",S23="Automático"),"50%",IF(AND(R23="Preventivo",S23="Manual"),"40%",IF(AND(R23="Detectivo",S23="Automático"),"40%",IF(AND(R23="Detectivo",S23="Manual"),"30%",IF(AND(R23="Correctivo",S23="Automático"),"35%",IF(AND(R23="Correctivo",S23="Manual"),"25%",""))))))</f>
        <v/>
      </c>
      <c r="U23" s="235"/>
      <c r="V23" s="235"/>
      <c r="W23" s="235"/>
      <c r="X23" s="237" t="str">
        <f>IFERROR(IF(AND(Q22="Probabilidad",Q23="Probabilidad"),(Z22-(+Z22*T23)),IF(Q23="Probabilidad",(I22-(+I22*T23)),IF(Q23="Impacto",Z22,""))),"")</f>
        <v/>
      </c>
      <c r="Y23" s="238" t="str">
        <f t="shared" si="1"/>
        <v/>
      </c>
      <c r="Z23" s="236" t="str">
        <f t="shared" ref="Z23:Z27" si="17">+X23</f>
        <v/>
      </c>
      <c r="AA23" s="238" t="str">
        <f t="shared" si="3"/>
        <v/>
      </c>
      <c r="AB23" s="236" t="str">
        <f>IFERROR(IF(AND(Q22="Impacto",Q23="Impacto"),(AB16-(+AB16*T23)),IF(Q23="Impacto",($M$22-(+$M$22*T23)),IF(Q23="Probabilidad",AB16,""))),"")</f>
        <v/>
      </c>
      <c r="AC23" s="239"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235"/>
      <c r="AE23" s="312"/>
      <c r="AF23" s="311"/>
      <c r="AG23" s="314"/>
      <c r="AH23" s="314"/>
      <c r="AI23" s="220"/>
      <c r="AJ23" s="240"/>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151.5" hidden="1" customHeight="1" outlineLevel="1" x14ac:dyDescent="0.3">
      <c r="A24" s="178"/>
      <c r="B24" s="242"/>
      <c r="C24" s="242"/>
      <c r="D24" s="242"/>
      <c r="E24" s="248"/>
      <c r="F24" s="242"/>
      <c r="G24" s="240"/>
      <c r="H24" s="244"/>
      <c r="I24" s="245"/>
      <c r="J24" s="246"/>
      <c r="K24" s="377">
        <f t="shared" si="15"/>
        <v>0</v>
      </c>
      <c r="L24" s="244"/>
      <c r="M24" s="245"/>
      <c r="N24" s="247"/>
      <c r="O24" s="233"/>
      <c r="P24" s="240"/>
      <c r="Q24" s="234" t="str">
        <f>IF(OR(R24="Preventivo",R24="Detectivo"),"Probabilidad",IF(R24="Correctivo","Impacto",""))</f>
        <v/>
      </c>
      <c r="R24" s="235"/>
      <c r="S24" s="235"/>
      <c r="T24" s="236" t="str">
        <f t="shared" si="16"/>
        <v/>
      </c>
      <c r="U24" s="235"/>
      <c r="V24" s="235"/>
      <c r="W24" s="235"/>
      <c r="X24" s="241" t="str">
        <f>IFERROR(IF(AND(Q23="Probabilidad",Q24="Probabilidad"),(Z23-(+Z23*T24)),IF(AND(Q23="Impacto",Q24="Probabilidad"),(Z22-(+Z22*T24)),IF(Q24="Impacto",Z23,""))),"")</f>
        <v/>
      </c>
      <c r="Y24" s="238" t="str">
        <f t="shared" si="1"/>
        <v/>
      </c>
      <c r="Z24" s="236" t="str">
        <f t="shared" si="17"/>
        <v/>
      </c>
      <c r="AA24" s="238" t="str">
        <f t="shared" si="3"/>
        <v/>
      </c>
      <c r="AB24" s="236" t="str">
        <f>IFERROR(IF(AND(Q23="Impacto",Q24="Impacto"),(AB23-(+AB23*T24)),IF(AND(Q23="Probabilidad",Q24="Impacto"),(AB22-(+AB22*T24)),IF(Q24="Probabilidad",AB23,""))),"")</f>
        <v/>
      </c>
      <c r="AC24" s="239" t="str">
        <f t="shared" si="18"/>
        <v/>
      </c>
      <c r="AD24" s="235"/>
      <c r="AE24" s="242"/>
      <c r="AF24" s="240"/>
      <c r="AG24" s="243"/>
      <c r="AH24" s="243"/>
      <c r="AI24" s="242"/>
      <c r="AJ24" s="240"/>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151.5" hidden="1" customHeight="1" outlineLevel="1" x14ac:dyDescent="0.3">
      <c r="A25" s="178"/>
      <c r="B25" s="242"/>
      <c r="C25" s="242"/>
      <c r="D25" s="242"/>
      <c r="E25" s="248"/>
      <c r="F25" s="242"/>
      <c r="G25" s="240"/>
      <c r="H25" s="244"/>
      <c r="I25" s="245"/>
      <c r="J25" s="246"/>
      <c r="K25" s="377">
        <f t="shared" si="15"/>
        <v>0</v>
      </c>
      <c r="L25" s="244"/>
      <c r="M25" s="245"/>
      <c r="N25" s="247"/>
      <c r="O25" s="233"/>
      <c r="P25" s="249"/>
      <c r="Q25" s="234" t="str">
        <f t="shared" ref="Q25:Q27" si="19">IF(OR(R25="Preventivo",R25="Detectivo"),"Probabilidad",IF(R25="Correctivo","Impacto",""))</f>
        <v/>
      </c>
      <c r="R25" s="235"/>
      <c r="S25" s="235"/>
      <c r="T25" s="236" t="str">
        <f t="shared" si="16"/>
        <v/>
      </c>
      <c r="U25" s="235"/>
      <c r="V25" s="235"/>
      <c r="W25" s="235"/>
      <c r="X25" s="241" t="str">
        <f t="shared" ref="X25:X27" si="20">IFERROR(IF(AND(Q24="Probabilidad",Q25="Probabilidad"),(Z24-(+Z24*T25)),IF(AND(Q24="Impacto",Q25="Probabilidad"),(Z23-(+Z23*T25)),IF(Q25="Impacto",Z24,""))),"")</f>
        <v/>
      </c>
      <c r="Y25" s="238" t="str">
        <f t="shared" si="1"/>
        <v/>
      </c>
      <c r="Z25" s="236" t="str">
        <f t="shared" si="17"/>
        <v/>
      </c>
      <c r="AA25" s="238" t="str">
        <f t="shared" si="3"/>
        <v/>
      </c>
      <c r="AB25" s="236" t="str">
        <f t="shared" ref="AB25:AB27" si="21">IFERROR(IF(AND(Q24="Impacto",Q25="Impacto"),(AB24-(+AB24*T25)),IF(AND(Q24="Probabilidad",Q25="Impacto"),(AB23-(+AB23*T25)),IF(Q25="Probabilidad",AB24,""))),"")</f>
        <v/>
      </c>
      <c r="AC25" s="239"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235"/>
      <c r="AE25" s="242"/>
      <c r="AF25" s="240"/>
      <c r="AG25" s="243"/>
      <c r="AH25" s="243"/>
      <c r="AI25" s="242"/>
      <c r="AJ25" s="240"/>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151.5" hidden="1" customHeight="1" outlineLevel="1" x14ac:dyDescent="0.3">
      <c r="A26" s="178"/>
      <c r="B26" s="242"/>
      <c r="C26" s="242"/>
      <c r="D26" s="242"/>
      <c r="E26" s="248"/>
      <c r="F26" s="242"/>
      <c r="G26" s="240"/>
      <c r="H26" s="244"/>
      <c r="I26" s="245"/>
      <c r="J26" s="246"/>
      <c r="K26" s="377">
        <f t="shared" si="15"/>
        <v>0</v>
      </c>
      <c r="L26" s="244"/>
      <c r="M26" s="245"/>
      <c r="N26" s="247"/>
      <c r="O26" s="233"/>
      <c r="P26" s="249"/>
      <c r="Q26" s="234" t="str">
        <f t="shared" si="19"/>
        <v/>
      </c>
      <c r="R26" s="235"/>
      <c r="S26" s="235"/>
      <c r="T26" s="236" t="str">
        <f t="shared" si="16"/>
        <v/>
      </c>
      <c r="U26" s="235"/>
      <c r="V26" s="235"/>
      <c r="W26" s="235"/>
      <c r="X26" s="241" t="str">
        <f t="shared" si="20"/>
        <v/>
      </c>
      <c r="Y26" s="238" t="str">
        <f t="shared" si="1"/>
        <v/>
      </c>
      <c r="Z26" s="236" t="str">
        <f t="shared" si="17"/>
        <v/>
      </c>
      <c r="AA26" s="238" t="str">
        <f t="shared" si="3"/>
        <v/>
      </c>
      <c r="AB26" s="236" t="str">
        <f t="shared" si="21"/>
        <v/>
      </c>
      <c r="AC26" s="239"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235"/>
      <c r="AE26" s="242"/>
      <c r="AF26" s="240"/>
      <c r="AG26" s="243"/>
      <c r="AH26" s="243"/>
      <c r="AI26" s="242"/>
      <c r="AJ26" s="240"/>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151.5" hidden="1" customHeight="1" outlineLevel="1" x14ac:dyDescent="0.3">
      <c r="A27" s="178"/>
      <c r="B27" s="242"/>
      <c r="C27" s="242"/>
      <c r="D27" s="242"/>
      <c r="E27" s="248"/>
      <c r="F27" s="242"/>
      <c r="G27" s="240"/>
      <c r="H27" s="244"/>
      <c r="I27" s="245"/>
      <c r="J27" s="246"/>
      <c r="K27" s="377">
        <f t="shared" si="15"/>
        <v>0</v>
      </c>
      <c r="L27" s="244"/>
      <c r="M27" s="245"/>
      <c r="N27" s="247"/>
      <c r="O27" s="233"/>
      <c r="P27" s="249"/>
      <c r="Q27" s="234" t="str">
        <f t="shared" si="19"/>
        <v/>
      </c>
      <c r="R27" s="235"/>
      <c r="S27" s="235"/>
      <c r="T27" s="236" t="str">
        <f t="shared" si="16"/>
        <v/>
      </c>
      <c r="U27" s="235"/>
      <c r="V27" s="235"/>
      <c r="W27" s="235"/>
      <c r="X27" s="241" t="str">
        <f t="shared" si="20"/>
        <v/>
      </c>
      <c r="Y27" s="238" t="str">
        <f t="shared" si="1"/>
        <v/>
      </c>
      <c r="Z27" s="236" t="str">
        <f t="shared" si="17"/>
        <v/>
      </c>
      <c r="AA27" s="238" t="str">
        <f t="shared" si="3"/>
        <v/>
      </c>
      <c r="AB27" s="236" t="str">
        <f t="shared" si="21"/>
        <v/>
      </c>
      <c r="AC27" s="239" t="str">
        <f t="shared" si="22"/>
        <v/>
      </c>
      <c r="AD27" s="235"/>
      <c r="AE27" s="242"/>
      <c r="AF27" s="240"/>
      <c r="AG27" s="243"/>
      <c r="AH27" s="243"/>
      <c r="AI27" s="242"/>
      <c r="AJ27" s="240"/>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249.75" customHeight="1" collapsed="1" x14ac:dyDescent="0.3">
      <c r="A28" s="178">
        <v>41</v>
      </c>
      <c r="B28" s="220" t="s">
        <v>134</v>
      </c>
      <c r="C28" s="256" t="s">
        <v>242</v>
      </c>
      <c r="D28" s="256" t="s">
        <v>243</v>
      </c>
      <c r="E28" s="258" t="s">
        <v>244</v>
      </c>
      <c r="F28" s="220" t="s">
        <v>123</v>
      </c>
      <c r="G28" s="185">
        <v>36</v>
      </c>
      <c r="H28" s="186" t="str">
        <f>IF(G28&lt;=0,"",IF(G28&lt;=2,"Muy Baja",IF(G28&lt;=24,"Baja",IF(G28&lt;=500,"Media",IF(G28&lt;=5000,"Alta","Muy Alta")))))</f>
        <v>Media</v>
      </c>
      <c r="I28" s="187">
        <f>IF(H28="","",IF(H28="Muy Baja",0.2,IF(H28="Baja",0.4,IF(H28="Media",0.6,IF(H28="Alta",0.8,IF(H28="Muy Alta",1,))))))</f>
        <v>0.6</v>
      </c>
      <c r="J28" s="188" t="s">
        <v>149</v>
      </c>
      <c r="K28" s="376" t="str">
        <f>IF(NOT(ISERROR(MATCH(J28,'Tabla Impacto'!$B$221:$B$223,0))),'Tabla Impacto'!$F$223&amp;"Por favor no seleccionar los criterios de impacto(Afectación Económica o presupuestal y Pérdida Reputacional)",J28)</f>
        <v xml:space="preserve">     Entre 50 y 100 SMLMV </v>
      </c>
      <c r="L28" s="222" t="str">
        <f>IF(OR(K28='Tabla Impacto'!$C$11,K28='Tabla Impacto'!$D$11),"Leve",IF(OR(K28='Tabla Impacto'!$C$12,K28='Tabla Impacto'!$D$12),"Menor",IF(OR(K28='Tabla Impacto'!$C$13,K28='Tabla Impacto'!$D$13),"Moderado",IF(OR(K28='Tabla Impacto'!$C$14,K28='Tabla Impacto'!$D$14),"Mayor",IF(OR(K28='Tabla Impacto'!$C$15,K28='Tabla Impacto'!$D$15),"Catastrófico","")))))</f>
        <v>Moderado</v>
      </c>
      <c r="M28" s="223">
        <f>IF(L28="","",IF(L28="Leve",0.2,IF(L28="Menor",0.4,IF(L28="Moderado",0.6,IF(L28="Mayor",0.8,IF(L28="Catastrófico",1,))))))</f>
        <v>0.6</v>
      </c>
      <c r="N28" s="22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78">
        <v>41</v>
      </c>
      <c r="P28" s="254" t="s">
        <v>241</v>
      </c>
      <c r="Q28" s="179" t="s">
        <v>230</v>
      </c>
      <c r="R28" s="180" t="s">
        <v>14</v>
      </c>
      <c r="S28" s="180" t="s">
        <v>9</v>
      </c>
      <c r="T28" s="181" t="str">
        <f>IF(AND(R28="Preventivo",S28="Automático"),"50%",IF(AND(R28="Preventivo",S28="Manual"),"40%",IF(AND(R28="Detectivo",S28="Automático"),"40%",IF(AND(R28="Detectivo",S28="Manual"),"30%",IF(AND(R28="Correctivo",S28="Automático"),"35%",IF(AND(R28="Correctivo",S28="Manual"),"25%",""))))))</f>
        <v>40%</v>
      </c>
      <c r="U28" s="180" t="s">
        <v>19</v>
      </c>
      <c r="V28" s="180" t="s">
        <v>22</v>
      </c>
      <c r="W28" s="180" t="s">
        <v>119</v>
      </c>
      <c r="X28" s="182">
        <f>IFERROR(IF(Q28="Probabilidad",(I28-(+I28*T28)),IF(Q28="Impacto",I28,"")),"")</f>
        <v>0.6</v>
      </c>
      <c r="Y28" s="183" t="str">
        <f>IFERROR(IF(X28="","",IF(X28&lt;=0.2,"Muy Baja",IF(X28&lt;=0.4,"Baja",IF(X28&lt;=0.6,"Media",IF(X28&lt;=0.8,"Alta","Muy Alta"))))),"")</f>
        <v>Media</v>
      </c>
      <c r="Z28" s="181">
        <f>+X28</f>
        <v>0.6</v>
      </c>
      <c r="AA28" s="183" t="str">
        <f>IFERROR(IF(AB28="","",IF(AB28&lt;=0.2,"Leve",IF(AB28&lt;=0.4,"Menor",IF(AB28&lt;=0.6,"Moderado",IF(AB28&lt;=0.8,"Mayor","Catastrófico"))))),"")</f>
        <v>Menor</v>
      </c>
      <c r="AB28" s="181">
        <f>IFERROR(IF(Q28="Impacto",(M28-(+M28*T28)),IF(Q28="Probabilidad",M28,"")),"")</f>
        <v>0.36</v>
      </c>
      <c r="AC28" s="18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80" t="s">
        <v>32</v>
      </c>
      <c r="AE28" s="254" t="s">
        <v>250</v>
      </c>
      <c r="AF28" s="310" t="s">
        <v>232</v>
      </c>
      <c r="AG28" s="313" t="s">
        <v>240</v>
      </c>
      <c r="AH28" s="260">
        <v>44562</v>
      </c>
      <c r="AI28" s="254" t="s">
        <v>215</v>
      </c>
      <c r="AJ28" s="185" t="s">
        <v>41</v>
      </c>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151.5" hidden="1" customHeight="1" outlineLevel="1" x14ac:dyDescent="0.3">
      <c r="A29" s="215"/>
      <c r="B29" s="152"/>
      <c r="C29" s="232"/>
      <c r="D29" s="232"/>
      <c r="E29" s="232"/>
      <c r="F29" s="152"/>
      <c r="G29" s="154"/>
      <c r="H29" s="156"/>
      <c r="I29" s="158"/>
      <c r="J29" s="160"/>
      <c r="K29" s="333">
        <f>IF(NOT(ISERROR(MATCH(J29,_xlfn.ANCHORARRAY(E40),0))),I42&amp;"Por favor no seleccionar los criterios de impacto",J29)</f>
        <v>0</v>
      </c>
      <c r="L29" s="156"/>
      <c r="M29" s="158"/>
      <c r="N29" s="162"/>
      <c r="O29" s="140"/>
      <c r="P29" s="213"/>
      <c r="Q29" s="165" t="str">
        <f>IF(OR(R29="Preventivo",R29="Detectivo"),"Probabilidad",IF(R29="Correctivo","Impacto",""))</f>
        <v/>
      </c>
      <c r="R29" s="166"/>
      <c r="S29" s="166"/>
      <c r="T29" s="167" t="str">
        <f t="shared" ref="T29:T33" si="23">IF(AND(R29="Preventivo",S29="Automático"),"50%",IF(AND(R29="Preventivo",S29="Manual"),"40%",IF(AND(R29="Detectivo",S29="Automático"),"40%",IF(AND(R29="Detectivo",S29="Manual"),"30%",IF(AND(R29="Correctivo",S29="Automático"),"35%",IF(AND(R29="Correctivo",S29="Manual"),"25%",""))))))</f>
        <v/>
      </c>
      <c r="U29" s="166"/>
      <c r="V29" s="166"/>
      <c r="W29" s="166"/>
      <c r="X29" s="168" t="str">
        <f>IFERROR(IF(AND(Q28="Probabilidad",Q29="Probabilidad"),(Z28-(+Z28*T29)),IF(Q29="Probabilidad",(I28-(+I28*T29)),IF(Q29="Impacto",Z28,""))),"")</f>
        <v/>
      </c>
      <c r="Y29" s="169" t="str">
        <f t="shared" si="1"/>
        <v/>
      </c>
      <c r="Z29" s="170" t="str">
        <f t="shared" ref="Z29:Z33" si="24">+X29</f>
        <v/>
      </c>
      <c r="AA29" s="169" t="str">
        <f t="shared" si="3"/>
        <v/>
      </c>
      <c r="AB29" s="170" t="str">
        <f>IFERROR(IF(AND(Q28="Impacto",Q29="Impacto"),(AB22-(+AB22*T29)),IF(Q29="Impacto",($M$28-(+$M$28*T29)),IF(Q29="Probabilidad",AB22,""))),"")</f>
        <v/>
      </c>
      <c r="AC29" s="171"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72"/>
      <c r="AE29" s="230"/>
      <c r="AF29" s="311"/>
      <c r="AG29" s="314"/>
      <c r="AH29" s="214"/>
      <c r="AI29" s="213"/>
      <c r="AJ29" s="225"/>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51.5" hidden="1" customHeight="1" outlineLevel="1" x14ac:dyDescent="0.3">
      <c r="A30" s="215"/>
      <c r="B30" s="152"/>
      <c r="C30" s="152"/>
      <c r="D30" s="152"/>
      <c r="E30" s="209"/>
      <c r="F30" s="152"/>
      <c r="G30" s="154"/>
      <c r="H30" s="156"/>
      <c r="I30" s="158"/>
      <c r="J30" s="160"/>
      <c r="K30" s="333">
        <f>IF(NOT(ISERROR(MATCH(J30,_xlfn.ANCHORARRAY(E41),0))),I43&amp;"Por favor no seleccionar los criterios de impacto",J30)</f>
        <v>0</v>
      </c>
      <c r="L30" s="156"/>
      <c r="M30" s="158"/>
      <c r="N30" s="162"/>
      <c r="O30" s="124"/>
      <c r="P30" s="137"/>
      <c r="Q30" s="126" t="str">
        <f>IF(OR(R30="Preventivo",R30="Detectivo"),"Probabilidad",IF(R30="Correctivo","Impacto",""))</f>
        <v/>
      </c>
      <c r="R30" s="127"/>
      <c r="S30" s="127"/>
      <c r="T30" s="128" t="str">
        <f t="shared" si="23"/>
        <v/>
      </c>
      <c r="U30" s="127"/>
      <c r="V30" s="127"/>
      <c r="W30" s="127"/>
      <c r="X30" s="129" t="str">
        <f>IFERROR(IF(AND(Q29="Probabilidad",Q30="Probabilidad"),(Z29-(+Z29*T30)),IF(AND(Q29="Impacto",Q30="Probabilidad"),(Z28-(+Z28*T30)),IF(Q30="Impacto",Z29,""))),"")</f>
        <v/>
      </c>
      <c r="Y30" s="130" t="str">
        <f t="shared" si="1"/>
        <v/>
      </c>
      <c r="Z30" s="131" t="str">
        <f t="shared" si="24"/>
        <v/>
      </c>
      <c r="AA30" s="130" t="str">
        <f t="shared" si="3"/>
        <v/>
      </c>
      <c r="AB30" s="131" t="str">
        <f>IFERROR(IF(AND(Q29="Impacto",Q30="Impacto"),(AB29-(+AB29*T30)),IF(AND(Q29="Probabilidad",Q30="Impacto"),(AB28-(+AB28*T30)),IF(Q30="Probabilidad",AB29,""))),"")</f>
        <v/>
      </c>
      <c r="AC30" s="132" t="str">
        <f t="shared" si="25"/>
        <v/>
      </c>
      <c r="AD30" s="133"/>
      <c r="AE30" s="134"/>
      <c r="AF30" s="135"/>
      <c r="AG30" s="136"/>
      <c r="AH30" s="136"/>
      <c r="AI30" s="134"/>
      <c r="AJ30" s="135"/>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151.5" hidden="1" customHeight="1" outlineLevel="1" x14ac:dyDescent="0.3">
      <c r="A31" s="215"/>
      <c r="B31" s="152"/>
      <c r="C31" s="152"/>
      <c r="D31" s="152"/>
      <c r="E31" s="209"/>
      <c r="F31" s="152"/>
      <c r="G31" s="154"/>
      <c r="H31" s="156"/>
      <c r="I31" s="158"/>
      <c r="J31" s="160"/>
      <c r="K31" s="333">
        <f>IF(NOT(ISERROR(MATCH(J31,_xlfn.ANCHORARRAY(E42),0))),I44&amp;"Por favor no seleccionar los criterios de impacto",J31)</f>
        <v>0</v>
      </c>
      <c r="L31" s="156"/>
      <c r="M31" s="158"/>
      <c r="N31" s="162"/>
      <c r="O31" s="124"/>
      <c r="P31" s="125"/>
      <c r="Q31" s="126" t="str">
        <f t="shared" ref="Q31:Q33" si="26">IF(OR(R31="Preventivo",R31="Detectivo"),"Probabilidad",IF(R31="Correctivo","Impacto",""))</f>
        <v/>
      </c>
      <c r="R31" s="127"/>
      <c r="S31" s="127"/>
      <c r="T31" s="128" t="str">
        <f t="shared" si="23"/>
        <v/>
      </c>
      <c r="U31" s="127"/>
      <c r="V31" s="127"/>
      <c r="W31" s="127"/>
      <c r="X31" s="129" t="str">
        <f t="shared" ref="X31:X33" si="27">IFERROR(IF(AND(Q30="Probabilidad",Q31="Probabilidad"),(Z30-(+Z30*T31)),IF(AND(Q30="Impacto",Q31="Probabilidad"),(Z29-(+Z29*T31)),IF(Q31="Impacto",Z30,""))),"")</f>
        <v/>
      </c>
      <c r="Y31" s="130" t="str">
        <f t="shared" si="1"/>
        <v/>
      </c>
      <c r="Z31" s="131" t="str">
        <f t="shared" si="24"/>
        <v/>
      </c>
      <c r="AA31" s="130" t="str">
        <f t="shared" si="3"/>
        <v/>
      </c>
      <c r="AB31" s="131" t="str">
        <f t="shared" ref="AB31:AB33" si="28">IFERROR(IF(AND(Q30="Impacto",Q31="Impacto"),(AB30-(+AB30*T31)),IF(AND(Q30="Probabilidad",Q31="Impacto"),(AB29-(+AB29*T31)),IF(Q31="Probabilidad",AB30,""))),"")</f>
        <v/>
      </c>
      <c r="AC31" s="132"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3"/>
      <c r="AE31" s="134"/>
      <c r="AF31" s="135"/>
      <c r="AG31" s="136"/>
      <c r="AH31" s="136"/>
      <c r="AI31" s="134"/>
      <c r="AJ31" s="135"/>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151.5" hidden="1" customHeight="1" outlineLevel="1" x14ac:dyDescent="0.3">
      <c r="A32" s="215"/>
      <c r="B32" s="152"/>
      <c r="C32" s="152"/>
      <c r="D32" s="152"/>
      <c r="E32" s="209"/>
      <c r="F32" s="152"/>
      <c r="G32" s="154"/>
      <c r="H32" s="156"/>
      <c r="I32" s="158"/>
      <c r="J32" s="160"/>
      <c r="K32" s="333">
        <f>IF(NOT(ISERROR(MATCH(J32,_xlfn.ANCHORARRAY(E43),0))),I45&amp;"Por favor no seleccionar los criterios de impacto",J32)</f>
        <v>0</v>
      </c>
      <c r="L32" s="156"/>
      <c r="M32" s="158"/>
      <c r="N32" s="162"/>
      <c r="O32" s="124"/>
      <c r="P32" s="125"/>
      <c r="Q32" s="126" t="str">
        <f t="shared" si="26"/>
        <v/>
      </c>
      <c r="R32" s="127"/>
      <c r="S32" s="127"/>
      <c r="T32" s="128" t="str">
        <f t="shared" si="23"/>
        <v/>
      </c>
      <c r="U32" s="127"/>
      <c r="V32" s="127"/>
      <c r="W32" s="127"/>
      <c r="X32" s="138" t="str">
        <f t="shared" si="27"/>
        <v/>
      </c>
      <c r="Y32" s="130" t="str">
        <f>IFERROR(IF(X32="","",IF(X32&lt;=0.2,"Muy Baja",IF(X32&lt;=0.4,"Baja",IF(X32&lt;=0.6,"Media",IF(X32&lt;=0.8,"Alta","Muy Alta"))))),"")</f>
        <v/>
      </c>
      <c r="Z32" s="131" t="str">
        <f t="shared" si="24"/>
        <v/>
      </c>
      <c r="AA32" s="130" t="str">
        <f t="shared" si="3"/>
        <v/>
      </c>
      <c r="AB32" s="131" t="str">
        <f t="shared" si="28"/>
        <v/>
      </c>
      <c r="AC32" s="132" t="str">
        <f t="shared" ref="AC32:AC33" si="2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3"/>
      <c r="AE32" s="134"/>
      <c r="AF32" s="135"/>
      <c r="AG32" s="136"/>
      <c r="AH32" s="136"/>
      <c r="AI32" s="134"/>
      <c r="AJ32" s="135"/>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151.5" hidden="1" customHeight="1" outlineLevel="1" x14ac:dyDescent="0.3">
      <c r="A33" s="215"/>
      <c r="B33" s="152"/>
      <c r="C33" s="152"/>
      <c r="D33" s="152"/>
      <c r="E33" s="209"/>
      <c r="F33" s="152"/>
      <c r="G33" s="154"/>
      <c r="H33" s="156"/>
      <c r="I33" s="158"/>
      <c r="J33" s="160"/>
      <c r="K33" s="334">
        <f>IF(NOT(ISERROR(MATCH(J33,_xlfn.ANCHORARRAY(E44),0))),I46&amp;"Por favor no seleccionar los criterios de impacto",J33)</f>
        <v>0</v>
      </c>
      <c r="L33" s="156"/>
      <c r="M33" s="158"/>
      <c r="N33" s="162"/>
      <c r="O33" s="139"/>
      <c r="P33" s="203"/>
      <c r="Q33" s="204" t="str">
        <f t="shared" si="26"/>
        <v/>
      </c>
      <c r="R33" s="133"/>
      <c r="S33" s="133"/>
      <c r="T33" s="131" t="str">
        <f t="shared" si="23"/>
        <v/>
      </c>
      <c r="U33" s="133"/>
      <c r="V33" s="133"/>
      <c r="W33" s="133"/>
      <c r="X33" s="205" t="str">
        <f t="shared" si="27"/>
        <v/>
      </c>
      <c r="Y33" s="206" t="str">
        <f t="shared" si="1"/>
        <v/>
      </c>
      <c r="Z33" s="131" t="str">
        <f t="shared" si="24"/>
        <v/>
      </c>
      <c r="AA33" s="206" t="str">
        <f t="shared" si="3"/>
        <v/>
      </c>
      <c r="AB33" s="131" t="str">
        <f t="shared" si="28"/>
        <v/>
      </c>
      <c r="AC33" s="207" t="str">
        <f t="shared" si="29"/>
        <v/>
      </c>
      <c r="AD33" s="133"/>
      <c r="AE33" s="141"/>
      <c r="AF33" s="143"/>
      <c r="AG33" s="208"/>
      <c r="AH33" s="208"/>
      <c r="AI33" s="221"/>
      <c r="AJ33" s="143"/>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244.5" customHeight="1" collapsed="1" x14ac:dyDescent="0.3">
      <c r="A34" s="178">
        <v>42</v>
      </c>
      <c r="B34" s="220" t="s">
        <v>134</v>
      </c>
      <c r="C34" s="261" t="s">
        <v>245</v>
      </c>
      <c r="D34" s="261" t="s">
        <v>246</v>
      </c>
      <c r="E34" s="262" t="s">
        <v>247</v>
      </c>
      <c r="F34" s="220" t="s">
        <v>123</v>
      </c>
      <c r="G34" s="185">
        <v>1</v>
      </c>
      <c r="H34" s="186" t="str">
        <f>IF(G34&lt;=0,"",IF(G34&lt;=2,"Muy Baja",IF(G34&lt;=24,"Baja",IF(G34&lt;=500,"Media",IF(G34&lt;=5000,"Alta","Muy Alta")))))</f>
        <v>Muy Baja</v>
      </c>
      <c r="I34" s="187">
        <f>IF(H34="","",IF(H34="Muy Baja",0.2,IF(H34="Baja",0.4,IF(H34="Media",0.6,IF(H34="Alta",0.8,IF(H34="Muy Alta",1,))))))</f>
        <v>0.2</v>
      </c>
      <c r="J34" s="188" t="s">
        <v>146</v>
      </c>
      <c r="K34" s="338" t="str">
        <f>IF(NOT(ISERROR(MATCH(J34,'Tabla Impacto'!$B$221:$B$223,0))),'Tabla Impacto'!$F$223&amp;"Por favor no seleccionar los criterios de impacto(Afectación Económica o presupuestal y Pérdida Reputacional)",J34)</f>
        <v xml:space="preserve">     Afectación menor a 10 SMLMV .</v>
      </c>
      <c r="L34" s="186" t="str">
        <f>IF(OR(K34='Tabla Impacto'!$C$11,K34='Tabla Impacto'!$D$11),"Leve",IF(OR(K34='Tabla Impacto'!$C$12,K34='Tabla Impacto'!$D$12),"Menor",IF(OR(K34='Tabla Impacto'!$C$13,K34='Tabla Impacto'!$D$13),"Moderado",IF(OR(K34='Tabla Impacto'!$C$14,K34='Tabla Impacto'!$D$14),"Mayor",IF(OR(K34='Tabla Impacto'!$C$15,K34='Tabla Impacto'!$D$15),"Catastrófico","")))))</f>
        <v>Leve</v>
      </c>
      <c r="M34" s="187">
        <f>IF(L34="","",IF(L34="Leve",0.2,IF(L34="Menor",0.4,IF(L34="Moderado",0.6,IF(L34="Mayor",0.8,IF(L34="Catastrófico",1,))))))</f>
        <v>0.2</v>
      </c>
      <c r="N34" s="18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Bajo</v>
      </c>
      <c r="O34" s="178">
        <v>42</v>
      </c>
      <c r="P34" s="261" t="s">
        <v>248</v>
      </c>
      <c r="Q34" s="179" t="s">
        <v>4</v>
      </c>
      <c r="R34" s="180" t="s">
        <v>14</v>
      </c>
      <c r="S34" s="180" t="s">
        <v>9</v>
      </c>
      <c r="T34" s="181" t="str">
        <f>IF(AND(R34="Preventivo",S34="Automático"),"50%",IF(AND(R34="Preventivo",S34="Manual"),"40%",IF(AND(R34="Detectivo",S34="Automático"),"40%",IF(AND(R34="Detectivo",S34="Manual"),"30%",IF(AND(R34="Correctivo",S34="Automático"),"35%",IF(AND(R34="Correctivo",S34="Manual"),"25%",""))))))</f>
        <v>40%</v>
      </c>
      <c r="U34" s="180" t="s">
        <v>19</v>
      </c>
      <c r="V34" s="180" t="s">
        <v>22</v>
      </c>
      <c r="W34" s="180" t="s">
        <v>119</v>
      </c>
      <c r="X34" s="182">
        <f>IFERROR(IF(Q34="Probabilidad",(I34-(+I34*T34)),IF(Q34="Impacto",I34,"")),"")</f>
        <v>0.12</v>
      </c>
      <c r="Y34" s="183" t="str">
        <f>IFERROR(IF(X34="","",IF(X34&lt;=0.2,"Muy Baja",IF(X34&lt;=0.4,"Baja",IF(X34&lt;=0.6,"Media",IF(X34&lt;=0.8,"Alta","Muy Alta"))))),"")</f>
        <v>Muy Baja</v>
      </c>
      <c r="Z34" s="181">
        <f>+X34</f>
        <v>0.12</v>
      </c>
      <c r="AA34" s="183" t="str">
        <f>IFERROR(IF(AB34="","",IF(AB34&lt;=0.2,"Leve",IF(AB34&lt;=0.4,"Menor",IF(AB34&lt;=0.6,"Moderado",IF(AB34&lt;=0.8,"Mayor","Catastrófico"))))),"")</f>
        <v>Leve</v>
      </c>
      <c r="AB34" s="181">
        <f>IFERROR(IF(Q34="Impacto",(M34-(+M34*T34)),IF(Q34="Probabilidad",M34,"")),"")</f>
        <v>0.2</v>
      </c>
      <c r="AC34" s="184"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Bajo</v>
      </c>
      <c r="AD34" s="180" t="s">
        <v>32</v>
      </c>
      <c r="AE34" s="254" t="s">
        <v>251</v>
      </c>
      <c r="AF34" s="261" t="s">
        <v>249</v>
      </c>
      <c r="AG34" s="313" t="s">
        <v>252</v>
      </c>
      <c r="AH34" s="253" t="s">
        <v>216</v>
      </c>
      <c r="AI34" s="254" t="s">
        <v>215</v>
      </c>
      <c r="AJ34" s="185" t="s">
        <v>41</v>
      </c>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151.5" hidden="1" customHeight="1" outlineLevel="1" x14ac:dyDescent="0.3">
      <c r="A35" s="219"/>
      <c r="B35" s="218"/>
      <c r="C35" s="231"/>
      <c r="D35" s="232"/>
      <c r="E35" s="251"/>
      <c r="F35" s="152"/>
      <c r="G35" s="154"/>
      <c r="H35" s="156"/>
      <c r="I35" s="158"/>
      <c r="J35" s="160"/>
      <c r="K35" s="333">
        <f>IF(NOT(ISERROR(MATCH(J35,_xlfn.ANCHORARRAY(E46),0))),I48&amp;"Por favor no seleccionar los criterios de impacto",J35)</f>
        <v>0</v>
      </c>
      <c r="L35" s="156"/>
      <c r="M35" s="158"/>
      <c r="N35" s="162"/>
      <c r="O35" s="140"/>
      <c r="P35" s="213"/>
      <c r="Q35" s="165" t="str">
        <f>IF(OR(R35="Preventivo",R35="Detectivo"),"Probabilidad",IF(R35="Correctivo","Impacto",""))</f>
        <v/>
      </c>
      <c r="R35" s="166"/>
      <c r="S35" s="166"/>
      <c r="T35" s="167" t="str">
        <f t="shared" ref="T35:T39" si="30">IF(AND(R35="Preventivo",S35="Automático"),"50%",IF(AND(R35="Preventivo",S35="Manual"),"40%",IF(AND(R35="Detectivo",S35="Automático"),"40%",IF(AND(R35="Detectivo",S35="Manual"),"30%",IF(AND(R35="Correctivo",S35="Automático"),"35%",IF(AND(R35="Correctivo",S35="Manual"),"25%",""))))))</f>
        <v/>
      </c>
      <c r="U35" s="166"/>
      <c r="V35" s="166"/>
      <c r="W35" s="166"/>
      <c r="X35" s="168" t="str">
        <f>IFERROR(IF(AND(Q34="Probabilidad",Q35="Probabilidad"),(Z34-(+Z34*T35)),IF(Q35="Probabilidad",(I34-(+I34*T35)),IF(Q35="Impacto",Z34,""))),"")</f>
        <v/>
      </c>
      <c r="Y35" s="169" t="str">
        <f t="shared" si="1"/>
        <v/>
      </c>
      <c r="Z35" s="170" t="str">
        <f t="shared" ref="Z35:Z39" si="31">+X35</f>
        <v/>
      </c>
      <c r="AA35" s="169" t="str">
        <f t="shared" si="3"/>
        <v/>
      </c>
      <c r="AB35" s="170" t="str">
        <f>IFERROR(IF(AND(Q34="Impacto",Q35="Impacto"),(AB28-(+AB28*T35)),IF(Q35="Impacto",($M$34-(+$M$34*T35)),IF(Q35="Probabilidad",AB28,""))),"")</f>
        <v/>
      </c>
      <c r="AC35" s="171" t="str">
        <f t="shared" ref="AC35:AC36" si="32">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72"/>
      <c r="AE35" s="230"/>
      <c r="AF35" s="250"/>
      <c r="AG35" s="314"/>
      <c r="AH35" s="252"/>
      <c r="AI35" s="250"/>
      <c r="AJ35" s="144"/>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151.5" hidden="1" customHeight="1" outlineLevel="1" x14ac:dyDescent="0.3">
      <c r="A36" s="151"/>
      <c r="B36" s="148"/>
      <c r="C36" s="152"/>
      <c r="D36" s="152"/>
      <c r="E36" s="209"/>
      <c r="F36" s="152"/>
      <c r="G36" s="154"/>
      <c r="H36" s="156"/>
      <c r="I36" s="158"/>
      <c r="J36" s="160"/>
      <c r="K36" s="333">
        <f>IF(NOT(ISERROR(MATCH(J36,_xlfn.ANCHORARRAY(E47),0))),I49&amp;"Por favor no seleccionar los criterios de impacto",J36)</f>
        <v>0</v>
      </c>
      <c r="L36" s="156"/>
      <c r="M36" s="158"/>
      <c r="N36" s="162"/>
      <c r="O36" s="124"/>
      <c r="P36" s="137"/>
      <c r="Q36" s="126" t="str">
        <f>IF(OR(R36="Preventivo",R36="Detectivo"),"Probabilidad",IF(R36="Correctivo","Impacto",""))</f>
        <v/>
      </c>
      <c r="R36" s="127"/>
      <c r="S36" s="127"/>
      <c r="T36" s="128" t="str">
        <f t="shared" si="30"/>
        <v/>
      </c>
      <c r="U36" s="127"/>
      <c r="V36" s="127"/>
      <c r="W36" s="127"/>
      <c r="X36" s="129" t="str">
        <f>IFERROR(IF(AND(Q35="Probabilidad",Q36="Probabilidad"),(Z35-(+Z35*T36)),IF(AND(Q35="Impacto",Q36="Probabilidad"),(Z34-(+Z34*T36)),IF(Q36="Impacto",Z35,""))),"")</f>
        <v/>
      </c>
      <c r="Y36" s="130" t="str">
        <f t="shared" si="1"/>
        <v/>
      </c>
      <c r="Z36" s="131" t="str">
        <f t="shared" si="31"/>
        <v/>
      </c>
      <c r="AA36" s="130" t="str">
        <f t="shared" si="3"/>
        <v/>
      </c>
      <c r="AB36" s="131" t="str">
        <f>IFERROR(IF(AND(Q35="Impacto",Q36="Impacto"),(AB35-(+AB35*T36)),IF(AND(Q35="Probabilidad",Q36="Impacto"),(AB34-(+AB34*T36)),IF(Q36="Probabilidad",AB35,""))),"")</f>
        <v/>
      </c>
      <c r="AC36" s="132" t="str">
        <f t="shared" si="32"/>
        <v/>
      </c>
      <c r="AD36" s="133"/>
      <c r="AE36" s="134"/>
      <c r="AF36" s="135"/>
      <c r="AG36" s="136"/>
      <c r="AH36" s="136"/>
      <c r="AI36" s="134"/>
      <c r="AJ36" s="135"/>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151.5" hidden="1" customHeight="1" outlineLevel="1" x14ac:dyDescent="0.3">
      <c r="A37" s="151"/>
      <c r="B37" s="148"/>
      <c r="C37" s="152"/>
      <c r="D37" s="152"/>
      <c r="E37" s="209"/>
      <c r="F37" s="152"/>
      <c r="G37" s="154"/>
      <c r="H37" s="156"/>
      <c r="I37" s="158"/>
      <c r="J37" s="160"/>
      <c r="K37" s="333">
        <f>IF(NOT(ISERROR(MATCH(J37,_xlfn.ANCHORARRAY(E48),0))),I50&amp;"Por favor no seleccionar los criterios de impacto",J37)</f>
        <v>0</v>
      </c>
      <c r="L37" s="156"/>
      <c r="M37" s="158"/>
      <c r="N37" s="162"/>
      <c r="O37" s="124"/>
      <c r="P37" s="125"/>
      <c r="Q37" s="126" t="str">
        <f t="shared" ref="Q37:Q39" si="33">IF(OR(R37="Preventivo",R37="Detectivo"),"Probabilidad",IF(R37="Correctivo","Impacto",""))</f>
        <v/>
      </c>
      <c r="R37" s="127"/>
      <c r="S37" s="127"/>
      <c r="T37" s="128" t="str">
        <f t="shared" si="30"/>
        <v/>
      </c>
      <c r="U37" s="127"/>
      <c r="V37" s="127"/>
      <c r="W37" s="127"/>
      <c r="X37" s="129" t="str">
        <f t="shared" ref="X37:X39" si="34">IFERROR(IF(AND(Q36="Probabilidad",Q37="Probabilidad"),(Z36-(+Z36*T37)),IF(AND(Q36="Impacto",Q37="Probabilidad"),(Z35-(+Z35*T37)),IF(Q37="Impacto",Z36,""))),"")</f>
        <v/>
      </c>
      <c r="Y37" s="130" t="str">
        <f t="shared" si="1"/>
        <v/>
      </c>
      <c r="Z37" s="131" t="str">
        <f t="shared" si="31"/>
        <v/>
      </c>
      <c r="AA37" s="130" t="str">
        <f t="shared" si="3"/>
        <v/>
      </c>
      <c r="AB37" s="131" t="str">
        <f t="shared" ref="AB37:AB39" si="35">IFERROR(IF(AND(Q36="Impacto",Q37="Impacto"),(AB36-(+AB36*T37)),IF(AND(Q36="Probabilidad",Q37="Impacto"),(AB35-(+AB35*T37)),IF(Q37="Probabilidad",AB36,""))),"")</f>
        <v/>
      </c>
      <c r="AC37" s="132"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3"/>
      <c r="AE37" s="134"/>
      <c r="AF37" s="135"/>
      <c r="AG37" s="136"/>
      <c r="AH37" s="136"/>
      <c r="AI37" s="134"/>
      <c r="AJ37" s="135"/>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151.5" hidden="1" customHeight="1" outlineLevel="1" x14ac:dyDescent="0.3">
      <c r="A38" s="151"/>
      <c r="B38" s="148"/>
      <c r="C38" s="152"/>
      <c r="D38" s="152"/>
      <c r="E38" s="209"/>
      <c r="F38" s="152"/>
      <c r="G38" s="154"/>
      <c r="H38" s="156"/>
      <c r="I38" s="158"/>
      <c r="J38" s="160"/>
      <c r="K38" s="333">
        <f>IF(NOT(ISERROR(MATCH(J38,_xlfn.ANCHORARRAY(E49),0))),I51&amp;"Por favor no seleccionar los criterios de impacto",J38)</f>
        <v>0</v>
      </c>
      <c r="L38" s="156"/>
      <c r="M38" s="158"/>
      <c r="N38" s="162"/>
      <c r="O38" s="124"/>
      <c r="P38" s="125"/>
      <c r="Q38" s="126" t="str">
        <f t="shared" si="33"/>
        <v/>
      </c>
      <c r="R38" s="127"/>
      <c r="S38" s="127"/>
      <c r="T38" s="128" t="str">
        <f t="shared" si="30"/>
        <v/>
      </c>
      <c r="U38" s="127"/>
      <c r="V38" s="127"/>
      <c r="W38" s="127"/>
      <c r="X38" s="129" t="str">
        <f t="shared" si="34"/>
        <v/>
      </c>
      <c r="Y38" s="130" t="str">
        <f t="shared" si="1"/>
        <v/>
      </c>
      <c r="Z38" s="131" t="str">
        <f t="shared" si="31"/>
        <v/>
      </c>
      <c r="AA38" s="130" t="str">
        <f t="shared" si="3"/>
        <v/>
      </c>
      <c r="AB38" s="131" t="str">
        <f t="shared" si="35"/>
        <v/>
      </c>
      <c r="AC38" s="132" t="str">
        <f t="shared" ref="AC38:AC39" si="36">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3"/>
      <c r="AE38" s="134"/>
      <c r="AF38" s="135"/>
      <c r="AG38" s="136"/>
      <c r="AH38" s="136"/>
      <c r="AI38" s="134"/>
      <c r="AJ38" s="135"/>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74.75" hidden="1" customHeight="1" outlineLevel="1" x14ac:dyDescent="0.3">
      <c r="A39" s="151"/>
      <c r="B39" s="148"/>
      <c r="C39" s="152"/>
      <c r="D39" s="152"/>
      <c r="E39" s="209"/>
      <c r="F39" s="152"/>
      <c r="G39" s="154"/>
      <c r="H39" s="156"/>
      <c r="I39" s="158"/>
      <c r="J39" s="160"/>
      <c r="K39" s="334">
        <f>IF(NOT(ISERROR(MATCH(J39,_xlfn.ANCHORARRAY(E50),0))),I52&amp;"Por favor no seleccionar los criterios de impacto",J39)</f>
        <v>0</v>
      </c>
      <c r="L39" s="156"/>
      <c r="M39" s="158"/>
      <c r="N39" s="162"/>
      <c r="O39" s="139"/>
      <c r="P39" s="203"/>
      <c r="Q39" s="204" t="str">
        <f t="shared" si="33"/>
        <v/>
      </c>
      <c r="R39" s="133"/>
      <c r="S39" s="133"/>
      <c r="T39" s="131" t="str">
        <f t="shared" si="30"/>
        <v/>
      </c>
      <c r="U39" s="133"/>
      <c r="V39" s="133"/>
      <c r="W39" s="133"/>
      <c r="X39" s="205" t="str">
        <f t="shared" si="34"/>
        <v/>
      </c>
      <c r="Y39" s="206" t="str">
        <f t="shared" si="1"/>
        <v/>
      </c>
      <c r="Z39" s="131" t="str">
        <f t="shared" si="31"/>
        <v/>
      </c>
      <c r="AA39" s="206" t="str">
        <f t="shared" si="3"/>
        <v/>
      </c>
      <c r="AB39" s="131" t="str">
        <f t="shared" si="35"/>
        <v/>
      </c>
      <c r="AC39" s="207" t="str">
        <f t="shared" si="36"/>
        <v/>
      </c>
      <c r="AD39" s="133"/>
      <c r="AE39" s="202"/>
      <c r="AF39" s="143"/>
      <c r="AG39" s="208"/>
      <c r="AH39" s="208"/>
      <c r="AI39" s="141"/>
      <c r="AJ39" s="143"/>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211.5" customHeight="1" collapsed="1" x14ac:dyDescent="0.3">
      <c r="A40" s="178">
        <v>43</v>
      </c>
      <c r="B40" s="174" t="s">
        <v>133</v>
      </c>
      <c r="C40" s="256" t="s">
        <v>253</v>
      </c>
      <c r="D40" s="263" t="s">
        <v>254</v>
      </c>
      <c r="E40" s="259" t="s">
        <v>255</v>
      </c>
      <c r="F40" s="174" t="s">
        <v>123</v>
      </c>
      <c r="G40" s="185">
        <v>24</v>
      </c>
      <c r="H40" s="186" t="str">
        <f>IF(G40&lt;=0,"",IF(G40&lt;=2,"Muy Baja",IF(G40&lt;=24,"Baja",IF(G40&lt;=500,"Media",IF(G40&lt;=5000,"Alta","Muy Alta")))))</f>
        <v>Baja</v>
      </c>
      <c r="I40" s="187">
        <f>IF(H40="","",IF(H40="Muy Baja",0.2,IF(H40="Baja",0.4,IF(H40="Media",0.6,IF(H40="Alta",0.8,IF(H40="Muy Alta",1,))))))</f>
        <v>0.4</v>
      </c>
      <c r="J40" s="188" t="s">
        <v>150</v>
      </c>
      <c r="K40" s="338" t="str">
        <f>IF(NOT(ISERROR(MATCH(J40,'Tabla Impacto'!$B$221:$B$223,0))),'Tabla Impacto'!$F$223&amp;"Por favor no seleccionar los criterios de impacto(Afectación Económica o presupuestal y Pérdida Reputacional)",J40)</f>
        <v xml:space="preserve">     Entre 10 y 50 SMLMV </v>
      </c>
      <c r="L40" s="186" t="str">
        <f>IF(OR(K40='Tabla Impacto'!$C$11,K40='Tabla Impacto'!$D$11),"Leve",IF(OR(K40='Tabla Impacto'!$C$12,K40='Tabla Impacto'!$D$12),"Menor",IF(OR(K40='Tabla Impacto'!$C$13,K40='Tabla Impacto'!$D$13),"Moderado",IF(OR(K40='Tabla Impacto'!$C$14,K40='Tabla Impacto'!$D$14),"Mayor",IF(OR(K40='Tabla Impacto'!$C$15,K40='Tabla Impacto'!$D$15),"Catastrófico","")))))</f>
        <v>Menor</v>
      </c>
      <c r="M40" s="187">
        <f>IF(L40="","",IF(L40="Leve",0.2,IF(L40="Menor",0.4,IF(L40="Moderado",0.6,IF(L40="Mayor",0.8,IF(L40="Catastrófico",1,))))))</f>
        <v>0.4</v>
      </c>
      <c r="N40" s="18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78">
        <v>43</v>
      </c>
      <c r="P40" s="254" t="s">
        <v>256</v>
      </c>
      <c r="Q40" s="179" t="s">
        <v>4</v>
      </c>
      <c r="R40" s="180" t="s">
        <v>14</v>
      </c>
      <c r="S40" s="180" t="s">
        <v>9</v>
      </c>
      <c r="T40" s="181" t="str">
        <f>IF(AND(R40="Preventivo",S40="Automático"),"50%",IF(AND(R40="Preventivo",S40="Manual"),"40%",IF(AND(R40="Detectivo",S40="Automático"),"40%",IF(AND(R40="Detectivo",S40="Manual"),"30%",IF(AND(R40="Correctivo",S40="Automático"),"35%",IF(AND(R40="Correctivo",S40="Manual"),"25%",""))))))</f>
        <v>40%</v>
      </c>
      <c r="U40" s="180" t="s">
        <v>19</v>
      </c>
      <c r="V40" s="180" t="s">
        <v>22</v>
      </c>
      <c r="W40" s="180" t="s">
        <v>119</v>
      </c>
      <c r="X40" s="182">
        <f>IFERROR(IF(Q40="Probabilidad",(I40-(+I40*T40)),IF(Q40="Impacto",I40,"")),"")</f>
        <v>0.24</v>
      </c>
      <c r="Y40" s="183" t="str">
        <f>IFERROR(IF(X40="","",IF(X40&lt;=0.2,"Muy Baja",IF(X40&lt;=0.4,"Baja",IF(X40&lt;=0.6,"Media",IF(X40&lt;=0.8,"Alta","Muy Alta"))))),"")</f>
        <v>Baja</v>
      </c>
      <c r="Z40" s="181">
        <f>+X40</f>
        <v>0.24</v>
      </c>
      <c r="AA40" s="183" t="str">
        <f>IFERROR(IF(AB40="","",IF(AB40&lt;=0.2,"Leve",IF(AB40&lt;=0.4,"Menor",IF(AB40&lt;=0.6,"Moderado",IF(AB40&lt;=0.8,"Mayor","Catastrófico"))))),"")</f>
        <v>Menor</v>
      </c>
      <c r="AB40" s="181">
        <f>IFERROR(IF(Q40="Impacto",(M40-(+M40*T40)),IF(Q40="Probabilidad",M40,"")),"")</f>
        <v>0.4</v>
      </c>
      <c r="AC40" s="184"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180" t="s">
        <v>32</v>
      </c>
      <c r="AE40" s="254" t="s">
        <v>257</v>
      </c>
      <c r="AF40" s="308" t="s">
        <v>232</v>
      </c>
      <c r="AG40" s="309" t="s">
        <v>240</v>
      </c>
      <c r="AH40" s="260">
        <v>44562</v>
      </c>
      <c r="AI40" s="254" t="s">
        <v>215</v>
      </c>
      <c r="AJ40" s="185" t="s">
        <v>41</v>
      </c>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151.5" hidden="1" customHeight="1" outlineLevel="1" x14ac:dyDescent="0.3">
      <c r="A41" s="215"/>
      <c r="B41" s="152"/>
      <c r="C41" s="152"/>
      <c r="D41" s="152"/>
      <c r="E41" s="209"/>
      <c r="F41" s="152"/>
      <c r="G41" s="154"/>
      <c r="H41" s="156"/>
      <c r="I41" s="158"/>
      <c r="J41" s="160"/>
      <c r="K41" s="375">
        <f>IF(NOT(ISERROR(MATCH(J41,_xlfn.ANCHORARRAY(E52),0))),I54&amp;"Por favor no seleccionar los criterios de impacto",J41)</f>
        <v>0</v>
      </c>
      <c r="L41" s="156"/>
      <c r="M41" s="158"/>
      <c r="N41" s="162"/>
      <c r="O41" s="140"/>
      <c r="P41" s="164"/>
      <c r="Q41" s="165" t="str">
        <f>IF(OR(R41="Preventivo",R41="Detectivo"),"Probabilidad",IF(R41="Correctivo","Impacto",""))</f>
        <v/>
      </c>
      <c r="R41" s="166"/>
      <c r="S41" s="166"/>
      <c r="T41" s="167" t="str">
        <f t="shared" ref="T41:T45" si="37">IF(AND(R41="Preventivo",S41="Automático"),"50%",IF(AND(R41="Preventivo",S41="Manual"),"40%",IF(AND(R41="Detectivo",S41="Automático"),"40%",IF(AND(R41="Detectivo",S41="Manual"),"30%",IF(AND(R41="Correctivo",S41="Automático"),"35%",IF(AND(R41="Correctivo",S41="Manual"),"25%",""))))))</f>
        <v/>
      </c>
      <c r="U41" s="166"/>
      <c r="V41" s="166"/>
      <c r="W41" s="166"/>
      <c r="X41" s="168" t="str">
        <f>IFERROR(IF(AND(Q40="Probabilidad",Q41="Probabilidad"),(Z40-(+Z40*T41)),IF(Q41="Probabilidad",(I40-(+I40*T41)),IF(Q41="Impacto",Z40,""))),"")</f>
        <v/>
      </c>
      <c r="Y41" s="169" t="str">
        <f t="shared" si="1"/>
        <v/>
      </c>
      <c r="Z41" s="170" t="str">
        <f t="shared" ref="Z41:Z45" si="38">+X41</f>
        <v/>
      </c>
      <c r="AA41" s="169" t="str">
        <f t="shared" si="3"/>
        <v/>
      </c>
      <c r="AB41" s="170" t="str">
        <f>IFERROR(IF(AND(Q40="Impacto",Q41="Impacto"),(AB34-(+AB34*T41)),IF(Q41="Impacto",($M$40-(+$M$40*T41)),IF(Q41="Probabilidad",AB34,""))),"")</f>
        <v/>
      </c>
      <c r="AC41" s="171" t="str">
        <f t="shared" ref="AC41:AC42" si="39">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72"/>
      <c r="AE41" s="142"/>
      <c r="AF41" s="308"/>
      <c r="AG41" s="309"/>
      <c r="AH41" s="173"/>
      <c r="AI41" s="142"/>
      <c r="AJ41" s="144"/>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51.5" hidden="1" customHeight="1" outlineLevel="1" x14ac:dyDescent="0.3">
      <c r="A42" s="215"/>
      <c r="B42" s="152"/>
      <c r="C42" s="152"/>
      <c r="D42" s="152"/>
      <c r="E42" s="209"/>
      <c r="F42" s="152"/>
      <c r="G42" s="154"/>
      <c r="H42" s="156"/>
      <c r="I42" s="158"/>
      <c r="J42" s="160"/>
      <c r="K42" s="333">
        <f>IF(NOT(ISERROR(MATCH(J42,_xlfn.ANCHORARRAY(E53),0))),I55&amp;"Por favor no seleccionar los criterios de impacto",J42)</f>
        <v>0</v>
      </c>
      <c r="L42" s="156"/>
      <c r="M42" s="158"/>
      <c r="N42" s="162"/>
      <c r="O42" s="124"/>
      <c r="P42" s="137"/>
      <c r="Q42" s="126" t="str">
        <f>IF(OR(R42="Preventivo",R42="Detectivo"),"Probabilidad",IF(R42="Correctivo","Impacto",""))</f>
        <v/>
      </c>
      <c r="R42" s="127"/>
      <c r="S42" s="127"/>
      <c r="T42" s="128" t="str">
        <f t="shared" si="37"/>
        <v/>
      </c>
      <c r="U42" s="127"/>
      <c r="V42" s="127"/>
      <c r="W42" s="127"/>
      <c r="X42" s="129" t="str">
        <f>IFERROR(IF(AND(Q41="Probabilidad",Q42="Probabilidad"),(Z41-(+Z41*T42)),IF(AND(Q41="Impacto",Q42="Probabilidad"),(Z40-(+Z40*T42)),IF(Q42="Impacto",Z41,""))),"")</f>
        <v/>
      </c>
      <c r="Y42" s="130" t="str">
        <f t="shared" si="1"/>
        <v/>
      </c>
      <c r="Z42" s="131" t="str">
        <f t="shared" si="38"/>
        <v/>
      </c>
      <c r="AA42" s="130" t="str">
        <f t="shared" si="3"/>
        <v/>
      </c>
      <c r="AB42" s="131" t="str">
        <f>IFERROR(IF(AND(Q41="Impacto",Q42="Impacto"),(AB41-(+AB41*T42)),IF(AND(Q41="Probabilidad",Q42="Impacto"),(AB40-(+AB40*T42)),IF(Q42="Probabilidad",AB41,""))),"")</f>
        <v/>
      </c>
      <c r="AC42" s="132" t="str">
        <f t="shared" si="39"/>
        <v/>
      </c>
      <c r="AD42" s="133"/>
      <c r="AE42" s="134"/>
      <c r="AF42" s="135"/>
      <c r="AG42" s="136"/>
      <c r="AH42" s="136"/>
      <c r="AI42" s="134"/>
      <c r="AJ42" s="135"/>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51.5" hidden="1" customHeight="1" outlineLevel="1" x14ac:dyDescent="0.3">
      <c r="A43" s="215"/>
      <c r="B43" s="152"/>
      <c r="C43" s="152"/>
      <c r="D43" s="152"/>
      <c r="E43" s="209"/>
      <c r="F43" s="152"/>
      <c r="G43" s="154"/>
      <c r="H43" s="156"/>
      <c r="I43" s="158"/>
      <c r="J43" s="160"/>
      <c r="K43" s="333">
        <f>IF(NOT(ISERROR(MATCH(J43,_xlfn.ANCHORARRAY(E54),0))),I56&amp;"Por favor no seleccionar los criterios de impacto",J43)</f>
        <v>0</v>
      </c>
      <c r="L43" s="156"/>
      <c r="M43" s="158"/>
      <c r="N43" s="162"/>
      <c r="O43" s="124"/>
      <c r="P43" s="125"/>
      <c r="Q43" s="126" t="str">
        <f t="shared" ref="Q43:Q45" si="40">IF(OR(R43="Preventivo",R43="Detectivo"),"Probabilidad",IF(R43="Correctivo","Impacto",""))</f>
        <v/>
      </c>
      <c r="R43" s="127"/>
      <c r="S43" s="127"/>
      <c r="T43" s="128" t="str">
        <f t="shared" si="37"/>
        <v/>
      </c>
      <c r="U43" s="127"/>
      <c r="V43" s="127"/>
      <c r="W43" s="127"/>
      <c r="X43" s="129" t="str">
        <f t="shared" ref="X43:X45" si="41">IFERROR(IF(AND(Q42="Probabilidad",Q43="Probabilidad"),(Z42-(+Z42*T43)),IF(AND(Q42="Impacto",Q43="Probabilidad"),(Z41-(+Z41*T43)),IF(Q43="Impacto",Z42,""))),"")</f>
        <v/>
      </c>
      <c r="Y43" s="130" t="str">
        <f t="shared" si="1"/>
        <v/>
      </c>
      <c r="Z43" s="131" t="str">
        <f t="shared" si="38"/>
        <v/>
      </c>
      <c r="AA43" s="130" t="str">
        <f t="shared" si="3"/>
        <v/>
      </c>
      <c r="AB43" s="131" t="str">
        <f t="shared" ref="AB43:AB45" si="42">IFERROR(IF(AND(Q42="Impacto",Q43="Impacto"),(AB42-(+AB42*T43)),IF(AND(Q42="Probabilidad",Q43="Impacto"),(AB41-(+AB41*T43)),IF(Q43="Probabilidad",AB42,""))),"")</f>
        <v/>
      </c>
      <c r="AC43" s="132"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3"/>
      <c r="AE43" s="134"/>
      <c r="AF43" s="135"/>
      <c r="AG43" s="136"/>
      <c r="AH43" s="136"/>
      <c r="AI43" s="134"/>
      <c r="AJ43" s="135"/>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51.5" hidden="1" customHeight="1" outlineLevel="1" x14ac:dyDescent="0.3">
      <c r="A44" s="215"/>
      <c r="B44" s="152"/>
      <c r="C44" s="152"/>
      <c r="D44" s="152"/>
      <c r="E44" s="209"/>
      <c r="F44" s="152"/>
      <c r="G44" s="154"/>
      <c r="H44" s="156"/>
      <c r="I44" s="158"/>
      <c r="J44" s="160"/>
      <c r="K44" s="333">
        <f>IF(NOT(ISERROR(MATCH(J44,_xlfn.ANCHORARRAY(E55),0))),I57&amp;"Por favor no seleccionar los criterios de impacto",J44)</f>
        <v>0</v>
      </c>
      <c r="L44" s="156"/>
      <c r="M44" s="158"/>
      <c r="N44" s="162"/>
      <c r="O44" s="124"/>
      <c r="P44" s="125"/>
      <c r="Q44" s="126" t="str">
        <f t="shared" si="40"/>
        <v/>
      </c>
      <c r="R44" s="127"/>
      <c r="S44" s="127"/>
      <c r="T44" s="128" t="str">
        <f t="shared" si="37"/>
        <v/>
      </c>
      <c r="U44" s="127"/>
      <c r="V44" s="127"/>
      <c r="W44" s="127"/>
      <c r="X44" s="129" t="str">
        <f t="shared" si="41"/>
        <v/>
      </c>
      <c r="Y44" s="130" t="str">
        <f t="shared" si="1"/>
        <v/>
      </c>
      <c r="Z44" s="131" t="str">
        <f t="shared" si="38"/>
        <v/>
      </c>
      <c r="AA44" s="130" t="str">
        <f t="shared" si="3"/>
        <v/>
      </c>
      <c r="AB44" s="131" t="str">
        <f t="shared" si="42"/>
        <v/>
      </c>
      <c r="AC44" s="132" t="str">
        <f t="shared" ref="AC44" si="43">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3"/>
      <c r="AE44" s="134"/>
      <c r="AF44" s="135"/>
      <c r="AG44" s="136"/>
      <c r="AH44" s="136"/>
      <c r="AI44" s="134"/>
      <c r="AJ44" s="135"/>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51.5" hidden="1" customHeight="1" outlineLevel="1" x14ac:dyDescent="0.3">
      <c r="A45" s="215"/>
      <c r="B45" s="152"/>
      <c r="C45" s="152"/>
      <c r="D45" s="152"/>
      <c r="E45" s="209"/>
      <c r="F45" s="152"/>
      <c r="G45" s="154"/>
      <c r="H45" s="156"/>
      <c r="I45" s="158"/>
      <c r="J45" s="160"/>
      <c r="K45" s="334">
        <f t="shared" ref="K45" si="44">IF(NOT(ISERROR(MATCH(J45,_xlfn.ANCHORARRAY(E56),0))),I58&amp;"Por favor no seleccionar los criterios de impacto",J45)</f>
        <v>0</v>
      </c>
      <c r="L45" s="156"/>
      <c r="M45" s="158"/>
      <c r="N45" s="162"/>
      <c r="O45" s="139"/>
      <c r="P45" s="203"/>
      <c r="Q45" s="204" t="str">
        <f t="shared" si="40"/>
        <v/>
      </c>
      <c r="R45" s="133"/>
      <c r="S45" s="133"/>
      <c r="T45" s="131" t="str">
        <f t="shared" si="37"/>
        <v/>
      </c>
      <c r="U45" s="133"/>
      <c r="V45" s="133"/>
      <c r="W45" s="133"/>
      <c r="X45" s="205" t="str">
        <f t="shared" si="41"/>
        <v/>
      </c>
      <c r="Y45" s="206" t="str">
        <f t="shared" si="1"/>
        <v/>
      </c>
      <c r="Z45" s="131" t="str">
        <f t="shared" si="38"/>
        <v/>
      </c>
      <c r="AA45" s="206" t="str">
        <f>IFERROR(IF(AB45="","",IF(AB45&lt;=0.2,"Leve",IF(AB45&lt;=0.4,"Menor",IF(AB45&lt;=0.6,"Moderado",IF(AB45&lt;=0.8,"Mayor","Catastrófico"))))),"")</f>
        <v/>
      </c>
      <c r="AB45" s="131" t="str">
        <f t="shared" si="42"/>
        <v/>
      </c>
      <c r="AC45" s="20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3"/>
      <c r="AE45" s="141"/>
      <c r="AF45" s="143"/>
      <c r="AG45" s="208"/>
      <c r="AH45" s="208"/>
      <c r="AI45" s="141"/>
      <c r="AJ45" s="143"/>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274.5" hidden="1" customHeight="1" collapsed="1" x14ac:dyDescent="0.3">
      <c r="A46" s="178"/>
      <c r="B46" s="174"/>
      <c r="C46" s="202"/>
      <c r="D46" s="202"/>
      <c r="E46" s="176"/>
      <c r="F46" s="174"/>
      <c r="G46" s="185"/>
      <c r="H46" s="186"/>
      <c r="I46" s="187"/>
      <c r="J46" s="188"/>
      <c r="K46" s="338"/>
      <c r="L46" s="186"/>
      <c r="M46" s="187"/>
      <c r="N46" s="189"/>
      <c r="O46" s="178"/>
      <c r="P46" s="217"/>
      <c r="Q46" s="179"/>
      <c r="R46" s="180"/>
      <c r="S46" s="180"/>
      <c r="T46" s="181"/>
      <c r="U46" s="180"/>
      <c r="V46" s="180"/>
      <c r="W46" s="180"/>
      <c r="X46" s="182"/>
      <c r="Y46" s="183"/>
      <c r="Z46" s="181"/>
      <c r="AA46" s="183"/>
      <c r="AB46" s="181"/>
      <c r="AC46" s="184"/>
      <c r="AD46" s="180"/>
      <c r="AE46" s="202"/>
      <c r="AF46" s="185"/>
      <c r="AG46" s="253"/>
      <c r="AH46" s="253"/>
      <c r="AI46" s="202"/>
      <c r="AJ46" s="185"/>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151.5" hidden="1" customHeight="1" outlineLevel="1" x14ac:dyDescent="0.3">
      <c r="A47" s="215"/>
      <c r="B47" s="152"/>
      <c r="C47" s="152"/>
      <c r="D47" s="152"/>
      <c r="E47" s="209"/>
      <c r="F47" s="152"/>
      <c r="G47" s="154"/>
      <c r="H47" s="156"/>
      <c r="I47" s="158"/>
      <c r="J47" s="160"/>
      <c r="K47" s="375"/>
      <c r="L47" s="156"/>
      <c r="M47" s="158"/>
      <c r="N47" s="162"/>
      <c r="O47" s="140"/>
      <c r="P47" s="164"/>
      <c r="Q47" s="165"/>
      <c r="R47" s="166"/>
      <c r="S47" s="166"/>
      <c r="T47" s="167"/>
      <c r="U47" s="166"/>
      <c r="V47" s="166"/>
      <c r="W47" s="166"/>
      <c r="X47" s="168"/>
      <c r="Y47" s="169"/>
      <c r="Z47" s="170"/>
      <c r="AA47" s="169"/>
      <c r="AB47" s="170"/>
      <c r="AC47" s="171"/>
      <c r="AD47" s="172"/>
      <c r="AE47" s="202"/>
      <c r="AF47" s="144"/>
      <c r="AG47" s="173"/>
      <c r="AH47" s="173"/>
      <c r="AI47" s="142"/>
      <c r="AJ47" s="144"/>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51.5" hidden="1" customHeight="1" outlineLevel="1" x14ac:dyDescent="0.3">
      <c r="A48" s="215"/>
      <c r="B48" s="152"/>
      <c r="C48" s="152"/>
      <c r="D48" s="152"/>
      <c r="E48" s="209"/>
      <c r="F48" s="152"/>
      <c r="G48" s="154"/>
      <c r="H48" s="156"/>
      <c r="I48" s="158"/>
      <c r="J48" s="160"/>
      <c r="K48" s="333"/>
      <c r="L48" s="156"/>
      <c r="M48" s="158"/>
      <c r="N48" s="162"/>
      <c r="O48" s="124"/>
      <c r="P48" s="137"/>
      <c r="Q48" s="126"/>
      <c r="R48" s="127"/>
      <c r="S48" s="127"/>
      <c r="T48" s="128"/>
      <c r="U48" s="127"/>
      <c r="V48" s="127"/>
      <c r="W48" s="127"/>
      <c r="X48" s="129"/>
      <c r="Y48" s="130"/>
      <c r="Z48" s="131"/>
      <c r="AA48" s="130"/>
      <c r="AB48" s="131"/>
      <c r="AC48" s="132"/>
      <c r="AD48" s="133"/>
      <c r="AE48" s="134"/>
      <c r="AF48" s="135"/>
      <c r="AG48" s="136"/>
      <c r="AH48" s="136"/>
      <c r="AI48" s="134"/>
      <c r="AJ48" s="135"/>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51.5" hidden="1" customHeight="1" outlineLevel="1" x14ac:dyDescent="0.3">
      <c r="A49" s="215"/>
      <c r="B49" s="152"/>
      <c r="C49" s="152"/>
      <c r="D49" s="152"/>
      <c r="E49" s="209"/>
      <c r="F49" s="152"/>
      <c r="G49" s="154"/>
      <c r="H49" s="156"/>
      <c r="I49" s="158"/>
      <c r="J49" s="160"/>
      <c r="K49" s="333"/>
      <c r="L49" s="156"/>
      <c r="M49" s="158"/>
      <c r="N49" s="162"/>
      <c r="O49" s="124"/>
      <c r="P49" s="125"/>
      <c r="Q49" s="126"/>
      <c r="R49" s="127"/>
      <c r="S49" s="127"/>
      <c r="T49" s="128"/>
      <c r="U49" s="127"/>
      <c r="V49" s="127"/>
      <c r="W49" s="127"/>
      <c r="X49" s="129"/>
      <c r="Y49" s="130"/>
      <c r="Z49" s="131"/>
      <c r="AA49" s="130"/>
      <c r="AB49" s="131"/>
      <c r="AC49" s="132"/>
      <c r="AD49" s="133"/>
      <c r="AE49" s="134"/>
      <c r="AF49" s="135"/>
      <c r="AG49" s="136"/>
      <c r="AH49" s="136"/>
      <c r="AI49" s="134"/>
      <c r="AJ49" s="135"/>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51.5" hidden="1" customHeight="1" outlineLevel="1" x14ac:dyDescent="0.3">
      <c r="A50" s="215"/>
      <c r="B50" s="152"/>
      <c r="C50" s="152"/>
      <c r="D50" s="152"/>
      <c r="E50" s="209"/>
      <c r="F50" s="152"/>
      <c r="G50" s="154"/>
      <c r="H50" s="156"/>
      <c r="I50" s="158"/>
      <c r="J50" s="160"/>
      <c r="K50" s="333"/>
      <c r="L50" s="156"/>
      <c r="M50" s="158"/>
      <c r="N50" s="162"/>
      <c r="O50" s="124"/>
      <c r="P50" s="125"/>
      <c r="Q50" s="126"/>
      <c r="R50" s="127"/>
      <c r="S50" s="127"/>
      <c r="T50" s="128"/>
      <c r="U50" s="127"/>
      <c r="V50" s="127"/>
      <c r="W50" s="127"/>
      <c r="X50" s="129"/>
      <c r="Y50" s="130"/>
      <c r="Z50" s="131"/>
      <c r="AA50" s="130"/>
      <c r="AB50" s="131"/>
      <c r="AC50" s="132"/>
      <c r="AD50" s="133"/>
      <c r="AE50" s="134"/>
      <c r="AF50" s="135"/>
      <c r="AG50" s="136"/>
      <c r="AH50" s="136"/>
      <c r="AI50" s="134"/>
      <c r="AJ50" s="135"/>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51.5" hidden="1" customHeight="1" outlineLevel="1" x14ac:dyDescent="0.3">
      <c r="A51" s="215"/>
      <c r="B51" s="152"/>
      <c r="C51" s="152"/>
      <c r="D51" s="152"/>
      <c r="E51" s="209"/>
      <c r="F51" s="152"/>
      <c r="G51" s="154"/>
      <c r="H51" s="156"/>
      <c r="I51" s="158"/>
      <c r="J51" s="160"/>
      <c r="K51" s="334"/>
      <c r="L51" s="156"/>
      <c r="M51" s="158"/>
      <c r="N51" s="162"/>
      <c r="O51" s="139"/>
      <c r="P51" s="203"/>
      <c r="Q51" s="204"/>
      <c r="R51" s="133"/>
      <c r="S51" s="133"/>
      <c r="T51" s="131"/>
      <c r="U51" s="133"/>
      <c r="V51" s="133"/>
      <c r="W51" s="133"/>
      <c r="X51" s="205"/>
      <c r="Y51" s="206"/>
      <c r="Z51" s="131"/>
      <c r="AA51" s="206"/>
      <c r="AB51" s="131"/>
      <c r="AC51" s="207"/>
      <c r="AD51" s="133"/>
      <c r="AE51" s="141"/>
      <c r="AF51" s="143"/>
      <c r="AG51" s="208"/>
      <c r="AH51" s="208"/>
      <c r="AI51" s="141"/>
      <c r="AJ51" s="143"/>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240.75" hidden="1" customHeight="1" collapsed="1" x14ac:dyDescent="0.3">
      <c r="A52" s="178"/>
      <c r="B52" s="174"/>
      <c r="C52" s="174"/>
      <c r="D52" s="174"/>
      <c r="E52" s="176"/>
      <c r="F52" s="174"/>
      <c r="G52" s="185"/>
      <c r="H52" s="186" t="str">
        <f>IF(G52&lt;=0,"",IF(G52&lt;=2,"Muy Baja",IF(G52&lt;=24,"Baja",IF(G52&lt;=500,"Media",IF(G52&lt;=5000,"Alta","Muy Alta")))))</f>
        <v/>
      </c>
      <c r="I52" s="187" t="str">
        <f>IF(H52="","",IF(H52="Muy Baja",0.2,IF(H52="Baja",0.4,IF(H52="Media",0.6,IF(H52="Alta",0.8,IF(H52="Muy Alta",1,))))))</f>
        <v/>
      </c>
      <c r="J52" s="188"/>
      <c r="K52" s="338">
        <f>IF(NOT(ISERROR(MATCH(J52,'Tabla Impacto'!$B$221:$B$223,0))),'Tabla Impacto'!$F$223&amp;"Por favor no seleccionar los criterios de impacto(Afectación Económica o presupuestal y Pérdida Reputacional)",J52)</f>
        <v>0</v>
      </c>
      <c r="L52" s="186" t="str">
        <f>IF(OR(K52='Tabla Impacto'!$C$11,K52='Tabla Impacto'!$D$11),"Leve",IF(OR(K52='Tabla Impacto'!$C$12,K52='Tabla Impacto'!$D$12),"Menor",IF(OR(K52='Tabla Impacto'!$C$13,K52='Tabla Impacto'!$D$13),"Moderado",IF(OR(K52='Tabla Impacto'!$C$14,K52='Tabla Impacto'!$D$14),"Mayor",IF(OR(K52='Tabla Impacto'!$C$15,K52='Tabla Impacto'!$D$15),"Catastrófico","")))))</f>
        <v/>
      </c>
      <c r="M52" s="187" t="str">
        <f>IF(L52="","",IF(L52="Leve",0.2,IF(L52="Menor",0.4,IF(L52="Moderado",0.6,IF(L52="Mayor",0.8,IF(L52="Catastrófico",1,))))))</f>
        <v/>
      </c>
      <c r="N52" s="18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78"/>
      <c r="P52" s="217"/>
      <c r="Q52" s="179" t="str">
        <f>IF(OR(R52="Preventivo",R52="Detectivo"),"Probabilidad",IF(R52="Correctivo","Impacto",""))</f>
        <v/>
      </c>
      <c r="R52" s="180"/>
      <c r="S52" s="180"/>
      <c r="T52" s="181" t="str">
        <f>IF(AND(R52="Preventivo",S52="Automático"),"50%",IF(AND(R52="Preventivo",S52="Manual"),"40%",IF(AND(R52="Detectivo",S52="Automático"),"40%",IF(AND(R52="Detectivo",S52="Manual"),"30%",IF(AND(R52="Correctivo",S52="Automático"),"35%",IF(AND(R52="Correctivo",S52="Manual"),"25%",""))))))</f>
        <v/>
      </c>
      <c r="U52" s="180"/>
      <c r="V52" s="180"/>
      <c r="W52" s="180"/>
      <c r="X52" s="182" t="str">
        <f>IFERROR(IF(Q52="Probabilidad",(I52-(+I52*T52)),IF(Q52="Impacto",I52,"")),"")</f>
        <v/>
      </c>
      <c r="Y52" s="183" t="str">
        <f>IFERROR(IF(X52="","",IF(X52&lt;=0.2,"Muy Baja",IF(X52&lt;=0.4,"Baja",IF(X52&lt;=0.6,"Media",IF(X52&lt;=0.8,"Alta","Muy Alta"))))),"")</f>
        <v/>
      </c>
      <c r="Z52" s="181" t="str">
        <f>+X52</f>
        <v/>
      </c>
      <c r="AA52" s="183" t="str">
        <f>IFERROR(IF(AB52="","",IF(AB52&lt;=0.2,"Leve",IF(AB52&lt;=0.4,"Menor",IF(AB52&lt;=0.6,"Moderado",IF(AB52&lt;=0.8,"Mayor","Catastrófico"))))),"")</f>
        <v/>
      </c>
      <c r="AB52" s="181" t="str">
        <f>IFERROR(IF(Q52="Impacto",(M52-(+M52*T52)),IF(Q52="Probabilidad",M52,"")),"")</f>
        <v/>
      </c>
      <c r="AC52" s="184"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80"/>
      <c r="AE52" s="174"/>
      <c r="AF52" s="185"/>
      <c r="AG52" s="253"/>
      <c r="AH52" s="177"/>
      <c r="AI52" s="202"/>
      <c r="AJ52" s="185"/>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151.5" hidden="1" customHeight="1" outlineLevel="1" x14ac:dyDescent="0.3">
      <c r="A53" s="215"/>
      <c r="B53" s="152"/>
      <c r="C53" s="152"/>
      <c r="D53" s="152"/>
      <c r="E53" s="209"/>
      <c r="F53" s="152"/>
      <c r="G53" s="154"/>
      <c r="H53" s="156"/>
      <c r="I53" s="158"/>
      <c r="J53" s="160"/>
      <c r="K53" s="333">
        <f>IF(NOT(ISERROR(MATCH(J53,_xlfn.ANCHORARRAY(E64),0))),I66&amp;"Por favor no seleccionar los criterios de impacto",J53)</f>
        <v>0</v>
      </c>
      <c r="L53" s="156"/>
      <c r="M53" s="158"/>
      <c r="N53" s="162"/>
      <c r="O53" s="140"/>
      <c r="P53" s="164"/>
      <c r="Q53" s="165" t="str">
        <f>IF(OR(R53="Preventivo",R53="Detectivo"),"Probabilidad",IF(R53="Correctivo","Impacto",""))</f>
        <v/>
      </c>
      <c r="R53" s="166"/>
      <c r="S53" s="166"/>
      <c r="T53" s="167" t="str">
        <f t="shared" ref="T53:T57" si="45">IF(AND(R53="Preventivo",S53="Automático"),"50%",IF(AND(R53="Preventivo",S53="Manual"),"40%",IF(AND(R53="Detectivo",S53="Automático"),"40%",IF(AND(R53="Detectivo",S53="Manual"),"30%",IF(AND(R53="Correctivo",S53="Automático"),"35%",IF(AND(R53="Correctivo",S53="Manual"),"25%",""))))))</f>
        <v/>
      </c>
      <c r="U53" s="166"/>
      <c r="V53" s="166"/>
      <c r="W53" s="166"/>
      <c r="X53" s="168" t="str">
        <f>IFERROR(IF(AND(Q52="Probabilidad",Q53="Probabilidad"),(Z52-(+Z52*T53)),IF(Q53="Probabilidad",(I52-(+I52*T53)),IF(Q53="Impacto",Z52,""))),"")</f>
        <v/>
      </c>
      <c r="Y53" s="169" t="str">
        <f t="shared" si="1"/>
        <v/>
      </c>
      <c r="Z53" s="170" t="str">
        <f t="shared" ref="Z53:Z57" si="46">+X53</f>
        <v/>
      </c>
      <c r="AA53" s="169" t="str">
        <f t="shared" si="3"/>
        <v/>
      </c>
      <c r="AB53" s="170" t="str">
        <f>IFERROR(IF(AND(Q52="Impacto",Q53="Impacto"),(AB46-(+AB46*T53)),IF(Q53="Impacto",($M$52-(+$M$52*T53)),IF(Q53="Probabilidad",AB46,""))),"")</f>
        <v/>
      </c>
      <c r="AC53" s="171" t="str">
        <f t="shared" ref="AC53:AC54" si="4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72"/>
      <c r="AE53" s="142"/>
      <c r="AF53" s="144"/>
      <c r="AG53" s="173"/>
      <c r="AH53" s="173"/>
      <c r="AI53" s="142"/>
      <c r="AJ53" s="144"/>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151.5" hidden="1" customHeight="1" outlineLevel="1" x14ac:dyDescent="0.3">
      <c r="A54" s="215"/>
      <c r="B54" s="152"/>
      <c r="C54" s="152"/>
      <c r="D54" s="152"/>
      <c r="E54" s="209"/>
      <c r="F54" s="152"/>
      <c r="G54" s="154"/>
      <c r="H54" s="156"/>
      <c r="I54" s="158"/>
      <c r="J54" s="160"/>
      <c r="K54" s="333">
        <f>IF(NOT(ISERROR(MATCH(J54,_xlfn.ANCHORARRAY(E65),0))),I67&amp;"Por favor no seleccionar los criterios de impacto",J54)</f>
        <v>0</v>
      </c>
      <c r="L54" s="156"/>
      <c r="M54" s="158"/>
      <c r="N54" s="162"/>
      <c r="O54" s="124"/>
      <c r="P54" s="137"/>
      <c r="Q54" s="126" t="str">
        <f>IF(OR(R54="Preventivo",R54="Detectivo"),"Probabilidad",IF(R54="Correctivo","Impacto",""))</f>
        <v/>
      </c>
      <c r="R54" s="127"/>
      <c r="S54" s="127"/>
      <c r="T54" s="128" t="str">
        <f t="shared" si="45"/>
        <v/>
      </c>
      <c r="U54" s="127"/>
      <c r="V54" s="127"/>
      <c r="W54" s="127"/>
      <c r="X54" s="129" t="str">
        <f>IFERROR(IF(AND(Q53="Probabilidad",Q54="Probabilidad"),(Z53-(+Z53*T54)),IF(AND(Q53="Impacto",Q54="Probabilidad"),(Z52-(+Z52*T54)),IF(Q54="Impacto",Z53,""))),"")</f>
        <v/>
      </c>
      <c r="Y54" s="130" t="str">
        <f t="shared" si="1"/>
        <v/>
      </c>
      <c r="Z54" s="131" t="str">
        <f t="shared" si="46"/>
        <v/>
      </c>
      <c r="AA54" s="130" t="str">
        <f t="shared" si="3"/>
        <v/>
      </c>
      <c r="AB54" s="131" t="str">
        <f>IFERROR(IF(AND(Q53="Impacto",Q54="Impacto"),(AB53-(+AB53*T54)),IF(AND(Q53="Probabilidad",Q54="Impacto"),(AB52-(+AB52*T54)),IF(Q54="Probabilidad",AB53,""))),"")</f>
        <v/>
      </c>
      <c r="AC54" s="132" t="str">
        <f t="shared" si="47"/>
        <v/>
      </c>
      <c r="AD54" s="133"/>
      <c r="AE54" s="134"/>
      <c r="AF54" s="135"/>
      <c r="AG54" s="136"/>
      <c r="AH54" s="136"/>
      <c r="AI54" s="134"/>
      <c r="AJ54" s="135"/>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151.5" hidden="1" customHeight="1" outlineLevel="1" x14ac:dyDescent="0.3">
      <c r="A55" s="215"/>
      <c r="B55" s="152"/>
      <c r="C55" s="152"/>
      <c r="D55" s="152"/>
      <c r="E55" s="209"/>
      <c r="F55" s="152"/>
      <c r="G55" s="154"/>
      <c r="H55" s="156"/>
      <c r="I55" s="158"/>
      <c r="J55" s="160"/>
      <c r="K55" s="333">
        <f>IF(NOT(ISERROR(MATCH(J55,_xlfn.ANCHORARRAY(E66),0))),I68&amp;"Por favor no seleccionar los criterios de impacto",J55)</f>
        <v>0</v>
      </c>
      <c r="L55" s="156"/>
      <c r="M55" s="158"/>
      <c r="N55" s="162"/>
      <c r="O55" s="124"/>
      <c r="P55" s="125"/>
      <c r="Q55" s="126" t="str">
        <f t="shared" ref="Q55:Q57" si="48">IF(OR(R55="Preventivo",R55="Detectivo"),"Probabilidad",IF(R55="Correctivo","Impacto",""))</f>
        <v/>
      </c>
      <c r="R55" s="127"/>
      <c r="S55" s="127"/>
      <c r="T55" s="128" t="str">
        <f t="shared" si="45"/>
        <v/>
      </c>
      <c r="U55" s="127"/>
      <c r="V55" s="127"/>
      <c r="W55" s="127"/>
      <c r="X55" s="129" t="str">
        <f t="shared" ref="X55:X57" si="49">IFERROR(IF(AND(Q54="Probabilidad",Q55="Probabilidad"),(Z54-(+Z54*T55)),IF(AND(Q54="Impacto",Q55="Probabilidad"),(Z53-(+Z53*T55)),IF(Q55="Impacto",Z54,""))),"")</f>
        <v/>
      </c>
      <c r="Y55" s="130" t="str">
        <f t="shared" si="1"/>
        <v/>
      </c>
      <c r="Z55" s="131" t="str">
        <f t="shared" si="46"/>
        <v/>
      </c>
      <c r="AA55" s="130" t="str">
        <f t="shared" si="3"/>
        <v/>
      </c>
      <c r="AB55" s="131" t="str">
        <f t="shared" ref="AB55:AB57" si="50">IFERROR(IF(AND(Q54="Impacto",Q55="Impacto"),(AB54-(+AB54*T55)),IF(AND(Q54="Probabilidad",Q55="Impacto"),(AB53-(+AB53*T55)),IF(Q55="Probabilidad",AB54,""))),"")</f>
        <v/>
      </c>
      <c r="AC55" s="132"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3"/>
      <c r="AE55" s="134"/>
      <c r="AF55" s="135"/>
      <c r="AG55" s="136"/>
      <c r="AH55" s="136"/>
      <c r="AI55" s="134"/>
      <c r="AJ55" s="135"/>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151.5" hidden="1" customHeight="1" outlineLevel="1" x14ac:dyDescent="0.3">
      <c r="A56" s="215"/>
      <c r="B56" s="152"/>
      <c r="C56" s="152"/>
      <c r="D56" s="152"/>
      <c r="E56" s="209"/>
      <c r="F56" s="152"/>
      <c r="G56" s="154"/>
      <c r="H56" s="156"/>
      <c r="I56" s="158"/>
      <c r="J56" s="160"/>
      <c r="K56" s="333">
        <f>IF(NOT(ISERROR(MATCH(J56,_xlfn.ANCHORARRAY(E67),0))),I69&amp;"Por favor no seleccionar los criterios de impacto",J56)</f>
        <v>0</v>
      </c>
      <c r="L56" s="156"/>
      <c r="M56" s="158"/>
      <c r="N56" s="162"/>
      <c r="O56" s="124"/>
      <c r="P56" s="125"/>
      <c r="Q56" s="126" t="str">
        <f t="shared" si="48"/>
        <v/>
      </c>
      <c r="R56" s="127"/>
      <c r="S56" s="127"/>
      <c r="T56" s="128" t="str">
        <f t="shared" si="45"/>
        <v/>
      </c>
      <c r="U56" s="127"/>
      <c r="V56" s="127"/>
      <c r="W56" s="127"/>
      <c r="X56" s="129" t="str">
        <f t="shared" si="49"/>
        <v/>
      </c>
      <c r="Y56" s="130" t="str">
        <f t="shared" si="1"/>
        <v/>
      </c>
      <c r="Z56" s="131" t="str">
        <f t="shared" si="46"/>
        <v/>
      </c>
      <c r="AA56" s="130" t="str">
        <f t="shared" si="3"/>
        <v/>
      </c>
      <c r="AB56" s="131" t="str">
        <f t="shared" si="50"/>
        <v/>
      </c>
      <c r="AC56" s="132" t="str">
        <f t="shared" ref="AC56:AC57" si="5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3"/>
      <c r="AE56" s="134"/>
      <c r="AF56" s="135"/>
      <c r="AG56" s="136"/>
      <c r="AH56" s="136"/>
      <c r="AI56" s="134"/>
      <c r="AJ56" s="135"/>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151.5" hidden="1" customHeight="1" outlineLevel="1" x14ac:dyDescent="0.3">
      <c r="A57" s="216"/>
      <c r="B57" s="153"/>
      <c r="C57" s="153"/>
      <c r="D57" s="153"/>
      <c r="E57" s="210"/>
      <c r="F57" s="153"/>
      <c r="G57" s="155"/>
      <c r="H57" s="157"/>
      <c r="I57" s="159"/>
      <c r="J57" s="161"/>
      <c r="K57" s="334">
        <f>IF(NOT(ISERROR(MATCH(J57,_xlfn.ANCHORARRAY(E68),0))),I70&amp;"Por favor no seleccionar los criterios de impacto",J57)</f>
        <v>0</v>
      </c>
      <c r="L57" s="157"/>
      <c r="M57" s="159"/>
      <c r="N57" s="163"/>
      <c r="O57" s="124"/>
      <c r="P57" s="125"/>
      <c r="Q57" s="126" t="str">
        <f t="shared" si="48"/>
        <v/>
      </c>
      <c r="R57" s="127"/>
      <c r="S57" s="127"/>
      <c r="T57" s="128" t="str">
        <f t="shared" si="45"/>
        <v/>
      </c>
      <c r="U57" s="127"/>
      <c r="V57" s="127"/>
      <c r="W57" s="127"/>
      <c r="X57" s="129" t="str">
        <f t="shared" si="49"/>
        <v/>
      </c>
      <c r="Y57" s="130" t="str">
        <f t="shared" si="1"/>
        <v/>
      </c>
      <c r="Z57" s="131" t="str">
        <f t="shared" si="46"/>
        <v/>
      </c>
      <c r="AA57" s="130" t="str">
        <f t="shared" si="3"/>
        <v/>
      </c>
      <c r="AB57" s="131" t="str">
        <f t="shared" si="50"/>
        <v/>
      </c>
      <c r="AC57" s="132" t="str">
        <f t="shared" si="51"/>
        <v/>
      </c>
      <c r="AD57" s="133"/>
      <c r="AE57" s="134"/>
      <c r="AF57" s="135"/>
      <c r="AG57" s="136"/>
      <c r="AH57" s="136"/>
      <c r="AI57" s="134"/>
      <c r="AJ57" s="135"/>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151.5" hidden="1" customHeight="1" outlineLevel="1" x14ac:dyDescent="0.3">
      <c r="A58" s="351">
        <v>9</v>
      </c>
      <c r="B58" s="354"/>
      <c r="C58" s="354"/>
      <c r="D58" s="354"/>
      <c r="E58" s="357"/>
      <c r="F58" s="354"/>
      <c r="G58" s="360"/>
      <c r="H58" s="335" t="str">
        <f>IF(G58&lt;=0,"",IF(G58&lt;=2,"Muy Baja",IF(G58&lt;=24,"Baja",IF(G58&lt;=500,"Media",IF(G58&lt;=5000,"Alta","Muy Alta")))))</f>
        <v/>
      </c>
      <c r="I58" s="332" t="str">
        <f>IF(H58="","",IF(H58="Muy Baja",0.2,IF(H58="Baja",0.4,IF(H58="Media",0.6,IF(H58="Alta",0.8,IF(H58="Muy Alta",1,))))))</f>
        <v/>
      </c>
      <c r="J58" s="329"/>
      <c r="K58" s="332">
        <f>IF(NOT(ISERROR(MATCH(J58,'Tabla Impacto'!$B$221:$B$223,0))),'Tabla Impacto'!$F$223&amp;"Por favor no seleccionar los criterios de impacto(Afectación Económica o presupuestal y Pérdida Reputacional)",J58)</f>
        <v>0</v>
      </c>
      <c r="L58" s="335" t="str">
        <f>IF(OR(K58='Tabla Impacto'!$C$11,K58='Tabla Impacto'!$D$11),"Leve",IF(OR(K58='Tabla Impacto'!$C$12,K58='Tabla Impacto'!$D$12),"Menor",IF(OR(K58='Tabla Impacto'!$C$13,K58='Tabla Impacto'!$D$13),"Moderado",IF(OR(K58='Tabla Impacto'!$C$14,K58='Tabla Impacto'!$D$14),"Mayor",IF(OR(K58='Tabla Impacto'!$C$15,K58='Tabla Impacto'!$D$15),"Catastrófico","")))))</f>
        <v/>
      </c>
      <c r="M58" s="332" t="str">
        <f>IF(L58="","",IF(L58="Leve",0.2,IF(L58="Menor",0.4,IF(L58="Moderado",0.6,IF(L58="Mayor",0.8,IF(L58="Catastrófico",1,))))))</f>
        <v/>
      </c>
      <c r="N58" s="34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4">
        <v>1</v>
      </c>
      <c r="P58" s="125"/>
      <c r="Q58" s="126" t="str">
        <f>IF(OR(R58="Preventivo",R58="Detectivo"),"Probabilidad",IF(R58="Correctivo","Impacto",""))</f>
        <v/>
      </c>
      <c r="R58" s="127"/>
      <c r="S58" s="127"/>
      <c r="T58" s="128" t="str">
        <f>IF(AND(R58="Preventivo",S58="Automático"),"50%",IF(AND(R58="Preventivo",S58="Manual"),"40%",IF(AND(R58="Detectivo",S58="Automático"),"40%",IF(AND(R58="Detectivo",S58="Manual"),"30%",IF(AND(R58="Correctivo",S58="Automático"),"35%",IF(AND(R58="Correctivo",S58="Manual"),"25%",""))))))</f>
        <v/>
      </c>
      <c r="U58" s="127"/>
      <c r="V58" s="127"/>
      <c r="W58" s="127"/>
      <c r="X58" s="129" t="str">
        <f>IFERROR(IF(Q58="Probabilidad",(I58-(+I58*T58)),IF(Q58="Impacto",I58,"")),"")</f>
        <v/>
      </c>
      <c r="Y58" s="130" t="str">
        <f>IFERROR(IF(X58="","",IF(X58&lt;=0.2,"Muy Baja",IF(X58&lt;=0.4,"Baja",IF(X58&lt;=0.6,"Media",IF(X58&lt;=0.8,"Alta","Muy Alta"))))),"")</f>
        <v/>
      </c>
      <c r="Z58" s="131" t="str">
        <f>+X58</f>
        <v/>
      </c>
      <c r="AA58" s="130" t="str">
        <f>IFERROR(IF(AB58="","",IF(AB58&lt;=0.2,"Leve",IF(AB58&lt;=0.4,"Menor",IF(AB58&lt;=0.6,"Moderado",IF(AB58&lt;=0.8,"Mayor","Catastrófico"))))),"")</f>
        <v/>
      </c>
      <c r="AB58" s="131" t="str">
        <f>IFERROR(IF(Q58="Impacto",(M58-(+M58*T58)),IF(Q58="Probabilidad",M58,"")),"")</f>
        <v/>
      </c>
      <c r="AC58" s="13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3"/>
      <c r="AE58" s="134"/>
      <c r="AF58" s="135"/>
      <c r="AG58" s="136"/>
      <c r="AH58" s="136"/>
      <c r="AI58" s="134"/>
      <c r="AJ58" s="135"/>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151.5" hidden="1" customHeight="1" outlineLevel="1" x14ac:dyDescent="0.3">
      <c r="A59" s="352"/>
      <c r="B59" s="355"/>
      <c r="C59" s="355"/>
      <c r="D59" s="355"/>
      <c r="E59" s="358"/>
      <c r="F59" s="355"/>
      <c r="G59" s="361"/>
      <c r="H59" s="336"/>
      <c r="I59" s="333"/>
      <c r="J59" s="330"/>
      <c r="K59" s="333">
        <f>IF(NOT(ISERROR(MATCH(J59,_xlfn.ANCHORARRAY(E70),0))),I72&amp;"Por favor no seleccionar los criterios de impacto",J59)</f>
        <v>0</v>
      </c>
      <c r="L59" s="336"/>
      <c r="M59" s="333"/>
      <c r="N59" s="349"/>
      <c r="O59" s="124">
        <v>2</v>
      </c>
      <c r="P59" s="125"/>
      <c r="Q59" s="126" t="str">
        <f>IF(OR(R59="Preventivo",R59="Detectivo"),"Probabilidad",IF(R59="Correctivo","Impacto",""))</f>
        <v/>
      </c>
      <c r="R59" s="127"/>
      <c r="S59" s="127"/>
      <c r="T59" s="128" t="str">
        <f t="shared" ref="T59:T63" si="52">IF(AND(R59="Preventivo",S59="Automático"),"50%",IF(AND(R59="Preventivo",S59="Manual"),"40%",IF(AND(R59="Detectivo",S59="Automático"),"40%",IF(AND(R59="Detectivo",S59="Manual"),"30%",IF(AND(R59="Correctivo",S59="Automático"),"35%",IF(AND(R59="Correctivo",S59="Manual"),"25%",""))))))</f>
        <v/>
      </c>
      <c r="U59" s="127"/>
      <c r="V59" s="127"/>
      <c r="W59" s="127"/>
      <c r="X59" s="129" t="str">
        <f>IFERROR(IF(AND(Q58="Probabilidad",Q59="Probabilidad"),(Z58-(+Z58*T59)),IF(Q59="Probabilidad",(I58-(+I58*T59)),IF(Q59="Impacto",Z58,""))),"")</f>
        <v/>
      </c>
      <c r="Y59" s="130" t="str">
        <f t="shared" si="1"/>
        <v/>
      </c>
      <c r="Z59" s="131" t="str">
        <f t="shared" ref="Z59:Z63" si="53">+X59</f>
        <v/>
      </c>
      <c r="AA59" s="130" t="str">
        <f t="shared" si="3"/>
        <v/>
      </c>
      <c r="AB59" s="131" t="str">
        <f>IFERROR(IF(AND(Q58="Impacto",Q59="Impacto"),(AB52-(+AB52*T59)),IF(Q59="Impacto",($M$58-(+$M$58*T59)),IF(Q59="Probabilidad",AB52,""))),"")</f>
        <v/>
      </c>
      <c r="AC59" s="132" t="str">
        <f t="shared" ref="AC59:AC60" si="5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3"/>
      <c r="AE59" s="134"/>
      <c r="AF59" s="135"/>
      <c r="AG59" s="136"/>
      <c r="AH59" s="136"/>
      <c r="AI59" s="134"/>
      <c r="AJ59" s="135"/>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151.5" hidden="1" customHeight="1" outlineLevel="1" x14ac:dyDescent="0.3">
      <c r="A60" s="352"/>
      <c r="B60" s="355"/>
      <c r="C60" s="355"/>
      <c r="D60" s="355"/>
      <c r="E60" s="358"/>
      <c r="F60" s="355"/>
      <c r="G60" s="361"/>
      <c r="H60" s="336"/>
      <c r="I60" s="333"/>
      <c r="J60" s="330"/>
      <c r="K60" s="333">
        <f>IF(NOT(ISERROR(MATCH(J60,_xlfn.ANCHORARRAY(E71),0))),I73&amp;"Por favor no seleccionar los criterios de impacto",J60)</f>
        <v>0</v>
      </c>
      <c r="L60" s="336"/>
      <c r="M60" s="333"/>
      <c r="N60" s="349"/>
      <c r="O60" s="124">
        <v>3</v>
      </c>
      <c r="P60" s="137"/>
      <c r="Q60" s="126" t="str">
        <f>IF(OR(R60="Preventivo",R60="Detectivo"),"Probabilidad",IF(R60="Correctivo","Impacto",""))</f>
        <v/>
      </c>
      <c r="R60" s="127"/>
      <c r="S60" s="127"/>
      <c r="T60" s="128" t="str">
        <f t="shared" si="52"/>
        <v/>
      </c>
      <c r="U60" s="127"/>
      <c r="V60" s="127"/>
      <c r="W60" s="127"/>
      <c r="X60" s="129" t="str">
        <f>IFERROR(IF(AND(Q59="Probabilidad",Q60="Probabilidad"),(Z59-(+Z59*T60)),IF(AND(Q59="Impacto",Q60="Probabilidad"),(Z58-(+Z58*T60)),IF(Q60="Impacto",Z59,""))),"")</f>
        <v/>
      </c>
      <c r="Y60" s="130" t="str">
        <f t="shared" si="1"/>
        <v/>
      </c>
      <c r="Z60" s="131" t="str">
        <f t="shared" si="53"/>
        <v/>
      </c>
      <c r="AA60" s="130" t="str">
        <f t="shared" si="3"/>
        <v/>
      </c>
      <c r="AB60" s="131" t="str">
        <f>IFERROR(IF(AND(Q59="Impacto",Q60="Impacto"),(AB59-(+AB59*T60)),IF(AND(Q59="Probabilidad",Q60="Impacto"),(AB58-(+AB58*T60)),IF(Q60="Probabilidad",AB59,""))),"")</f>
        <v/>
      </c>
      <c r="AC60" s="132" t="str">
        <f t="shared" si="54"/>
        <v/>
      </c>
      <c r="AD60" s="133"/>
      <c r="AE60" s="134"/>
      <c r="AF60" s="135"/>
      <c r="AG60" s="136"/>
      <c r="AH60" s="136"/>
      <c r="AI60" s="134"/>
      <c r="AJ60" s="135"/>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151.5" hidden="1" customHeight="1" outlineLevel="1" x14ac:dyDescent="0.3">
      <c r="A61" s="352"/>
      <c r="B61" s="355"/>
      <c r="C61" s="355"/>
      <c r="D61" s="355"/>
      <c r="E61" s="358"/>
      <c r="F61" s="355"/>
      <c r="G61" s="361"/>
      <c r="H61" s="336"/>
      <c r="I61" s="333"/>
      <c r="J61" s="330"/>
      <c r="K61" s="333">
        <f>IF(NOT(ISERROR(MATCH(J61,_xlfn.ANCHORARRAY(E72),0))),I74&amp;"Por favor no seleccionar los criterios de impacto",J61)</f>
        <v>0</v>
      </c>
      <c r="L61" s="336"/>
      <c r="M61" s="333"/>
      <c r="N61" s="349"/>
      <c r="O61" s="124">
        <v>4</v>
      </c>
      <c r="P61" s="125"/>
      <c r="Q61" s="126" t="str">
        <f t="shared" ref="Q61:Q63" si="55">IF(OR(R61="Preventivo",R61="Detectivo"),"Probabilidad",IF(R61="Correctivo","Impacto",""))</f>
        <v/>
      </c>
      <c r="R61" s="127"/>
      <c r="S61" s="127"/>
      <c r="T61" s="128" t="str">
        <f t="shared" si="52"/>
        <v/>
      </c>
      <c r="U61" s="127"/>
      <c r="V61" s="127"/>
      <c r="W61" s="127"/>
      <c r="X61" s="129" t="str">
        <f t="shared" ref="X61:X63" si="56">IFERROR(IF(AND(Q60="Probabilidad",Q61="Probabilidad"),(Z60-(+Z60*T61)),IF(AND(Q60="Impacto",Q61="Probabilidad"),(Z59-(+Z59*T61)),IF(Q61="Impacto",Z60,""))),"")</f>
        <v/>
      </c>
      <c r="Y61" s="130" t="str">
        <f t="shared" si="1"/>
        <v/>
      </c>
      <c r="Z61" s="131" t="str">
        <f t="shared" si="53"/>
        <v/>
      </c>
      <c r="AA61" s="130" t="str">
        <f t="shared" si="3"/>
        <v/>
      </c>
      <c r="AB61" s="131" t="str">
        <f t="shared" ref="AB61:AB63" si="57">IFERROR(IF(AND(Q60="Impacto",Q61="Impacto"),(AB60-(+AB60*T61)),IF(AND(Q60="Probabilidad",Q61="Impacto"),(AB59-(+AB59*T61)),IF(Q61="Probabilidad",AB60,""))),"")</f>
        <v/>
      </c>
      <c r="AC61" s="132"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3"/>
      <c r="AE61" s="134"/>
      <c r="AF61" s="135"/>
      <c r="AG61" s="136"/>
      <c r="AH61" s="136"/>
      <c r="AI61" s="134"/>
      <c r="AJ61" s="135"/>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151.5" hidden="1" customHeight="1" outlineLevel="1" x14ac:dyDescent="0.3">
      <c r="A62" s="352"/>
      <c r="B62" s="355"/>
      <c r="C62" s="355"/>
      <c r="D62" s="355"/>
      <c r="E62" s="358"/>
      <c r="F62" s="355"/>
      <c r="G62" s="361"/>
      <c r="H62" s="336"/>
      <c r="I62" s="333"/>
      <c r="J62" s="330"/>
      <c r="K62" s="333">
        <f>IF(NOT(ISERROR(MATCH(J62,_xlfn.ANCHORARRAY(E73),0))),I75&amp;"Por favor no seleccionar los criterios de impacto",J62)</f>
        <v>0</v>
      </c>
      <c r="L62" s="336"/>
      <c r="M62" s="333"/>
      <c r="N62" s="349"/>
      <c r="O62" s="124">
        <v>5</v>
      </c>
      <c r="P62" s="125"/>
      <c r="Q62" s="126" t="str">
        <f t="shared" si="55"/>
        <v/>
      </c>
      <c r="R62" s="127"/>
      <c r="S62" s="127"/>
      <c r="T62" s="128" t="str">
        <f t="shared" si="52"/>
        <v/>
      </c>
      <c r="U62" s="127"/>
      <c r="V62" s="127"/>
      <c r="W62" s="127"/>
      <c r="X62" s="129" t="str">
        <f t="shared" si="56"/>
        <v/>
      </c>
      <c r="Y62" s="130" t="str">
        <f t="shared" si="1"/>
        <v/>
      </c>
      <c r="Z62" s="131" t="str">
        <f t="shared" si="53"/>
        <v/>
      </c>
      <c r="AA62" s="130" t="str">
        <f t="shared" si="3"/>
        <v/>
      </c>
      <c r="AB62" s="131" t="str">
        <f t="shared" si="57"/>
        <v/>
      </c>
      <c r="AC62" s="132" t="str">
        <f t="shared" ref="AC62:AC63" si="5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3"/>
      <c r="AE62" s="134"/>
      <c r="AF62" s="135"/>
      <c r="AG62" s="136"/>
      <c r="AH62" s="136"/>
      <c r="AI62" s="134"/>
      <c r="AJ62" s="135"/>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151.5" hidden="1" customHeight="1" outlineLevel="1" x14ac:dyDescent="0.3">
      <c r="A63" s="353"/>
      <c r="B63" s="356"/>
      <c r="C63" s="356"/>
      <c r="D63" s="356"/>
      <c r="E63" s="359"/>
      <c r="F63" s="356"/>
      <c r="G63" s="362"/>
      <c r="H63" s="337"/>
      <c r="I63" s="334"/>
      <c r="J63" s="331"/>
      <c r="K63" s="334">
        <f>IF(NOT(ISERROR(MATCH(J63,_xlfn.ANCHORARRAY(E74),0))),I76&amp;"Por favor no seleccionar los criterios de impacto",J63)</f>
        <v>0</v>
      </c>
      <c r="L63" s="337"/>
      <c r="M63" s="334"/>
      <c r="N63" s="350"/>
      <c r="O63" s="124">
        <v>6</v>
      </c>
      <c r="P63" s="125"/>
      <c r="Q63" s="126" t="str">
        <f t="shared" si="55"/>
        <v/>
      </c>
      <c r="R63" s="127"/>
      <c r="S63" s="127"/>
      <c r="T63" s="128" t="str">
        <f t="shared" si="52"/>
        <v/>
      </c>
      <c r="U63" s="127"/>
      <c r="V63" s="127"/>
      <c r="W63" s="127"/>
      <c r="X63" s="129" t="str">
        <f t="shared" si="56"/>
        <v/>
      </c>
      <c r="Y63" s="130" t="str">
        <f t="shared" si="1"/>
        <v/>
      </c>
      <c r="Z63" s="131" t="str">
        <f t="shared" si="53"/>
        <v/>
      </c>
      <c r="AA63" s="130" t="str">
        <f t="shared" si="3"/>
        <v/>
      </c>
      <c r="AB63" s="131" t="str">
        <f t="shared" si="57"/>
        <v/>
      </c>
      <c r="AC63" s="132" t="str">
        <f t="shared" si="58"/>
        <v/>
      </c>
      <c r="AD63" s="133"/>
      <c r="AE63" s="134"/>
      <c r="AF63" s="135"/>
      <c r="AG63" s="136"/>
      <c r="AH63" s="136"/>
      <c r="AI63" s="134"/>
      <c r="AJ63" s="135"/>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151.5" hidden="1" customHeight="1" outlineLevel="1" x14ac:dyDescent="0.3">
      <c r="A64" s="351">
        <v>10</v>
      </c>
      <c r="B64" s="354"/>
      <c r="C64" s="354"/>
      <c r="D64" s="354"/>
      <c r="E64" s="357"/>
      <c r="F64" s="354"/>
      <c r="G64" s="360"/>
      <c r="H64" s="335" t="str">
        <f>IF(G64&lt;=0,"",IF(G64&lt;=2,"Muy Baja",IF(G64&lt;=24,"Baja",IF(G64&lt;=500,"Media",IF(G64&lt;=5000,"Alta","Muy Alta")))))</f>
        <v/>
      </c>
      <c r="I64" s="332" t="str">
        <f>IF(H64="","",IF(H64="Muy Baja",0.2,IF(H64="Baja",0.4,IF(H64="Media",0.6,IF(H64="Alta",0.8,IF(H64="Muy Alta",1,))))))</f>
        <v/>
      </c>
      <c r="J64" s="329"/>
      <c r="K64" s="332">
        <f>IF(NOT(ISERROR(MATCH(J64,'Tabla Impacto'!$B$221:$B$223,0))),'Tabla Impacto'!$F$223&amp;"Por favor no seleccionar los criterios de impacto(Afectación Económica o presupuestal y Pérdida Reputacional)",J64)</f>
        <v>0</v>
      </c>
      <c r="L64" s="335" t="str">
        <f>IF(OR(K64='Tabla Impacto'!$C$11,K64='Tabla Impacto'!$D$11),"Leve",IF(OR(K64='Tabla Impacto'!$C$12,K64='Tabla Impacto'!$D$12),"Menor",IF(OR(K64='Tabla Impacto'!$C$13,K64='Tabla Impacto'!$D$13),"Moderado",IF(OR(K64='Tabla Impacto'!$C$14,K64='Tabla Impacto'!$D$14),"Mayor",IF(OR(K64='Tabla Impacto'!$C$15,K64='Tabla Impacto'!$D$15),"Catastrófico","")))))</f>
        <v/>
      </c>
      <c r="M64" s="332" t="str">
        <f>IF(L64="","",IF(L64="Leve",0.2,IF(L64="Menor",0.4,IF(L64="Moderado",0.6,IF(L64="Mayor",0.8,IF(L64="Catastrófico",1,))))))</f>
        <v/>
      </c>
      <c r="N64" s="34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4">
        <v>1</v>
      </c>
      <c r="P64" s="125"/>
      <c r="Q64" s="126" t="str">
        <f>IF(OR(R64="Preventivo",R64="Detectivo"),"Probabilidad",IF(R64="Correctivo","Impacto",""))</f>
        <v/>
      </c>
      <c r="R64" s="127"/>
      <c r="S64" s="127"/>
      <c r="T64" s="128" t="str">
        <f>IF(AND(R64="Preventivo",S64="Automático"),"50%",IF(AND(R64="Preventivo",S64="Manual"),"40%",IF(AND(R64="Detectivo",S64="Automático"),"40%",IF(AND(R64="Detectivo",S64="Manual"),"30%",IF(AND(R64="Correctivo",S64="Automático"),"35%",IF(AND(R64="Correctivo",S64="Manual"),"25%",""))))))</f>
        <v/>
      </c>
      <c r="U64" s="127"/>
      <c r="V64" s="127"/>
      <c r="W64" s="127"/>
      <c r="X64" s="129" t="str">
        <f>IFERROR(IF(Q64="Probabilidad",(I64-(+I64*T64)),IF(Q64="Impacto",I64,"")),"")</f>
        <v/>
      </c>
      <c r="Y64" s="130" t="str">
        <f>IFERROR(IF(X64="","",IF(X64&lt;=0.2,"Muy Baja",IF(X64&lt;=0.4,"Baja",IF(X64&lt;=0.6,"Media",IF(X64&lt;=0.8,"Alta","Muy Alta"))))),"")</f>
        <v/>
      </c>
      <c r="Z64" s="131" t="str">
        <f>+X64</f>
        <v/>
      </c>
      <c r="AA64" s="130" t="str">
        <f>IFERROR(IF(AB64="","",IF(AB64&lt;=0.2,"Leve",IF(AB64&lt;=0.4,"Menor",IF(AB64&lt;=0.6,"Moderado",IF(AB64&lt;=0.8,"Mayor","Catastrófico"))))),"")</f>
        <v/>
      </c>
      <c r="AB64" s="131" t="str">
        <f>IFERROR(IF(Q64="Impacto",(M64-(+M64*T64)),IF(Q64="Probabilidad",M64,"")),"")</f>
        <v/>
      </c>
      <c r="AC64" s="13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3"/>
      <c r="AE64" s="134"/>
      <c r="AF64" s="135"/>
      <c r="AG64" s="136"/>
      <c r="AH64" s="136"/>
      <c r="AI64" s="134"/>
      <c r="AJ64" s="135"/>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36" ht="151.5" hidden="1" customHeight="1" outlineLevel="1" x14ac:dyDescent="0.3">
      <c r="A65" s="352"/>
      <c r="B65" s="355"/>
      <c r="C65" s="355"/>
      <c r="D65" s="355"/>
      <c r="E65" s="358"/>
      <c r="F65" s="355"/>
      <c r="G65" s="361"/>
      <c r="H65" s="336"/>
      <c r="I65" s="333"/>
      <c r="J65" s="330"/>
      <c r="K65" s="333">
        <f>IF(NOT(ISERROR(MATCH(J65,_xlfn.ANCHORARRAY(E76),0))),I78&amp;"Por favor no seleccionar los criterios de impacto",J65)</f>
        <v>0</v>
      </c>
      <c r="L65" s="336"/>
      <c r="M65" s="333"/>
      <c r="N65" s="349"/>
      <c r="O65" s="124">
        <v>2</v>
      </c>
      <c r="P65" s="125"/>
      <c r="Q65" s="126" t="str">
        <f>IF(OR(R65="Preventivo",R65="Detectivo"),"Probabilidad",IF(R65="Correctivo","Impacto",""))</f>
        <v/>
      </c>
      <c r="R65" s="127"/>
      <c r="S65" s="127"/>
      <c r="T65" s="128" t="str">
        <f t="shared" ref="T65:T69" si="59">IF(AND(R65="Preventivo",S65="Automático"),"50%",IF(AND(R65="Preventivo",S65="Manual"),"40%",IF(AND(R65="Detectivo",S65="Automático"),"40%",IF(AND(R65="Detectivo",S65="Manual"),"30%",IF(AND(R65="Correctivo",S65="Automático"),"35%",IF(AND(R65="Correctivo",S65="Manual"),"25%",""))))))</f>
        <v/>
      </c>
      <c r="U65" s="127"/>
      <c r="V65" s="127"/>
      <c r="W65" s="127"/>
      <c r="X65" s="129" t="str">
        <f>IFERROR(IF(AND(Q64="Probabilidad",Q65="Probabilidad"),(Z64-(+Z64*T65)),IF(Q65="Probabilidad",(I64-(+I64*T65)),IF(Q65="Impacto",Z64,""))),"")</f>
        <v/>
      </c>
      <c r="Y65" s="130" t="str">
        <f t="shared" si="1"/>
        <v/>
      </c>
      <c r="Z65" s="131" t="str">
        <f t="shared" ref="Z65:Z69" si="60">+X65</f>
        <v/>
      </c>
      <c r="AA65" s="130" t="str">
        <f t="shared" si="3"/>
        <v/>
      </c>
      <c r="AB65" s="131" t="str">
        <f>IFERROR(IF(AND(Q64="Impacto",Q65="Impacto"),(AB58-(+AB58*T65)),IF(Q65="Impacto",($M$64-(+$M$64*T65)),IF(Q65="Probabilidad",AB58,""))),"")</f>
        <v/>
      </c>
      <c r="AC65" s="132" t="str">
        <f t="shared" ref="AC65:AC66" si="6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3"/>
      <c r="AE65" s="134"/>
      <c r="AF65" s="135"/>
      <c r="AG65" s="136"/>
      <c r="AH65" s="136"/>
      <c r="AI65" s="134"/>
      <c r="AJ65" s="135"/>
    </row>
    <row r="66" spans="1:36" ht="151.5" hidden="1" customHeight="1" outlineLevel="1" x14ac:dyDescent="0.3">
      <c r="A66" s="352"/>
      <c r="B66" s="355"/>
      <c r="C66" s="355"/>
      <c r="D66" s="355"/>
      <c r="E66" s="358"/>
      <c r="F66" s="355"/>
      <c r="G66" s="361"/>
      <c r="H66" s="336"/>
      <c r="I66" s="333"/>
      <c r="J66" s="330"/>
      <c r="K66" s="333">
        <f>IF(NOT(ISERROR(MATCH(J66,_xlfn.ANCHORARRAY(E77),0))),I79&amp;"Por favor no seleccionar los criterios de impacto",J66)</f>
        <v>0</v>
      </c>
      <c r="L66" s="336"/>
      <c r="M66" s="333"/>
      <c r="N66" s="349"/>
      <c r="O66" s="124">
        <v>3</v>
      </c>
      <c r="P66" s="137"/>
      <c r="Q66" s="126" t="str">
        <f>IF(OR(R66="Preventivo",R66="Detectivo"),"Probabilidad",IF(R66="Correctivo","Impacto",""))</f>
        <v/>
      </c>
      <c r="R66" s="127"/>
      <c r="S66" s="127"/>
      <c r="T66" s="128" t="str">
        <f t="shared" si="59"/>
        <v/>
      </c>
      <c r="U66" s="127"/>
      <c r="V66" s="127"/>
      <c r="W66" s="127"/>
      <c r="X66" s="129" t="str">
        <f>IFERROR(IF(AND(Q65="Probabilidad",Q66="Probabilidad"),(Z65-(+Z65*T66)),IF(AND(Q65="Impacto",Q66="Probabilidad"),(Z64-(+Z64*T66)),IF(Q66="Impacto",Z65,""))),"")</f>
        <v/>
      </c>
      <c r="Y66" s="130" t="str">
        <f t="shared" si="1"/>
        <v/>
      </c>
      <c r="Z66" s="131" t="str">
        <f t="shared" si="60"/>
        <v/>
      </c>
      <c r="AA66" s="130" t="str">
        <f t="shared" si="3"/>
        <v/>
      </c>
      <c r="AB66" s="131" t="str">
        <f>IFERROR(IF(AND(Q65="Impacto",Q66="Impacto"),(AB65-(+AB65*T66)),IF(AND(Q65="Probabilidad",Q66="Impacto"),(AB64-(+AB64*T66)),IF(Q66="Probabilidad",AB65,""))),"")</f>
        <v/>
      </c>
      <c r="AC66" s="132" t="str">
        <f t="shared" si="61"/>
        <v/>
      </c>
      <c r="AD66" s="133"/>
      <c r="AE66" s="134"/>
      <c r="AF66" s="135"/>
      <c r="AG66" s="136"/>
      <c r="AH66" s="136"/>
      <c r="AI66" s="134"/>
      <c r="AJ66" s="135"/>
    </row>
    <row r="67" spans="1:36" ht="151.5" hidden="1" customHeight="1" outlineLevel="1" x14ac:dyDescent="0.3">
      <c r="A67" s="352"/>
      <c r="B67" s="355"/>
      <c r="C67" s="355"/>
      <c r="D67" s="355"/>
      <c r="E67" s="358"/>
      <c r="F67" s="355"/>
      <c r="G67" s="361"/>
      <c r="H67" s="336"/>
      <c r="I67" s="333"/>
      <c r="J67" s="330"/>
      <c r="K67" s="333">
        <f>IF(NOT(ISERROR(MATCH(J67,_xlfn.ANCHORARRAY(E78),0))),I80&amp;"Por favor no seleccionar los criterios de impacto",J67)</f>
        <v>0</v>
      </c>
      <c r="L67" s="336"/>
      <c r="M67" s="333"/>
      <c r="N67" s="349"/>
      <c r="O67" s="124">
        <v>4</v>
      </c>
      <c r="P67" s="125"/>
      <c r="Q67" s="126" t="str">
        <f t="shared" ref="Q67:Q69" si="62">IF(OR(R67="Preventivo",R67="Detectivo"),"Probabilidad",IF(R67="Correctivo","Impacto",""))</f>
        <v/>
      </c>
      <c r="R67" s="127"/>
      <c r="S67" s="127"/>
      <c r="T67" s="128" t="str">
        <f t="shared" si="59"/>
        <v/>
      </c>
      <c r="U67" s="127"/>
      <c r="V67" s="127"/>
      <c r="W67" s="127"/>
      <c r="X67" s="129" t="str">
        <f t="shared" ref="X67:X69" si="63">IFERROR(IF(AND(Q66="Probabilidad",Q67="Probabilidad"),(Z66-(+Z66*T67)),IF(AND(Q66="Impacto",Q67="Probabilidad"),(Z65-(+Z65*T67)),IF(Q67="Impacto",Z66,""))),"")</f>
        <v/>
      </c>
      <c r="Y67" s="130" t="str">
        <f t="shared" si="1"/>
        <v/>
      </c>
      <c r="Z67" s="131" t="str">
        <f t="shared" si="60"/>
        <v/>
      </c>
      <c r="AA67" s="130" t="str">
        <f t="shared" si="3"/>
        <v/>
      </c>
      <c r="AB67" s="131" t="str">
        <f t="shared" ref="AB67:AB69" si="64">IFERROR(IF(AND(Q66="Impacto",Q67="Impacto"),(AB66-(+AB66*T67)),IF(AND(Q66="Probabilidad",Q67="Impacto"),(AB65-(+AB65*T67)),IF(Q67="Probabilidad",AB66,""))),"")</f>
        <v/>
      </c>
      <c r="AC67" s="132"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3"/>
      <c r="AE67" s="134"/>
      <c r="AF67" s="135"/>
      <c r="AG67" s="136"/>
      <c r="AH67" s="136"/>
      <c r="AI67" s="134"/>
      <c r="AJ67" s="135"/>
    </row>
    <row r="68" spans="1:36" ht="151.5" hidden="1" customHeight="1" outlineLevel="1" x14ac:dyDescent="0.3">
      <c r="A68" s="352"/>
      <c r="B68" s="355"/>
      <c r="C68" s="355"/>
      <c r="D68" s="355"/>
      <c r="E68" s="358"/>
      <c r="F68" s="355"/>
      <c r="G68" s="361"/>
      <c r="H68" s="336"/>
      <c r="I68" s="333"/>
      <c r="J68" s="330"/>
      <c r="K68" s="333">
        <f>IF(NOT(ISERROR(MATCH(J68,_xlfn.ANCHORARRAY(E79),0))),I81&amp;"Por favor no seleccionar los criterios de impacto",J68)</f>
        <v>0</v>
      </c>
      <c r="L68" s="336"/>
      <c r="M68" s="333"/>
      <c r="N68" s="349"/>
      <c r="O68" s="124">
        <v>5</v>
      </c>
      <c r="P68" s="125"/>
      <c r="Q68" s="126" t="str">
        <f t="shared" si="62"/>
        <v/>
      </c>
      <c r="R68" s="127"/>
      <c r="S68" s="127"/>
      <c r="T68" s="128" t="str">
        <f t="shared" si="59"/>
        <v/>
      </c>
      <c r="U68" s="127"/>
      <c r="V68" s="127"/>
      <c r="W68" s="127"/>
      <c r="X68" s="129" t="str">
        <f t="shared" si="63"/>
        <v/>
      </c>
      <c r="Y68" s="130" t="str">
        <f t="shared" si="1"/>
        <v/>
      </c>
      <c r="Z68" s="131" t="str">
        <f t="shared" si="60"/>
        <v/>
      </c>
      <c r="AA68" s="130" t="str">
        <f t="shared" si="3"/>
        <v/>
      </c>
      <c r="AB68" s="131" t="str">
        <f t="shared" si="64"/>
        <v/>
      </c>
      <c r="AC68" s="132" t="str">
        <f t="shared" ref="AC68:AC69" si="6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3"/>
      <c r="AE68" s="134"/>
      <c r="AF68" s="135"/>
      <c r="AG68" s="136"/>
      <c r="AH68" s="136"/>
      <c r="AI68" s="134"/>
      <c r="AJ68" s="135"/>
    </row>
    <row r="69" spans="1:36" ht="151.5" hidden="1" customHeight="1" outlineLevel="1" x14ac:dyDescent="0.3">
      <c r="A69" s="353"/>
      <c r="B69" s="356"/>
      <c r="C69" s="356"/>
      <c r="D69" s="356"/>
      <c r="E69" s="359"/>
      <c r="F69" s="356"/>
      <c r="G69" s="362"/>
      <c r="H69" s="337"/>
      <c r="I69" s="334"/>
      <c r="J69" s="331"/>
      <c r="K69" s="334">
        <f>IF(NOT(ISERROR(MATCH(J69,_xlfn.ANCHORARRAY(E80),0))),I82&amp;"Por favor no seleccionar los criterios de impacto",J69)</f>
        <v>0</v>
      </c>
      <c r="L69" s="337"/>
      <c r="M69" s="334"/>
      <c r="N69" s="350"/>
      <c r="O69" s="124">
        <v>6</v>
      </c>
      <c r="P69" s="125"/>
      <c r="Q69" s="126" t="str">
        <f t="shared" si="62"/>
        <v/>
      </c>
      <c r="R69" s="127"/>
      <c r="S69" s="127"/>
      <c r="T69" s="128" t="str">
        <f t="shared" si="59"/>
        <v/>
      </c>
      <c r="U69" s="127"/>
      <c r="V69" s="127"/>
      <c r="W69" s="127"/>
      <c r="X69" s="129" t="str">
        <f t="shared" si="63"/>
        <v/>
      </c>
      <c r="Y69" s="130" t="str">
        <f t="shared" si="1"/>
        <v/>
      </c>
      <c r="Z69" s="131" t="str">
        <f t="shared" si="60"/>
        <v/>
      </c>
      <c r="AA69" s="130" t="str">
        <f t="shared" si="3"/>
        <v/>
      </c>
      <c r="AB69" s="131" t="str">
        <f t="shared" si="64"/>
        <v/>
      </c>
      <c r="AC69" s="132" t="str">
        <f t="shared" si="65"/>
        <v/>
      </c>
      <c r="AD69" s="133"/>
      <c r="AE69" s="134"/>
      <c r="AF69" s="135"/>
      <c r="AG69" s="136"/>
      <c r="AH69" s="136"/>
      <c r="AI69" s="134"/>
      <c r="AJ69" s="135"/>
    </row>
    <row r="70" spans="1:36" ht="49.5" customHeight="1" collapsed="1" x14ac:dyDescent="0.3">
      <c r="A70" s="6"/>
      <c r="B70" s="315" t="s">
        <v>131</v>
      </c>
      <c r="C70" s="316"/>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7"/>
    </row>
    <row r="72" spans="1:36" x14ac:dyDescent="0.3">
      <c r="A72" s="1"/>
      <c r="B72" s="23" t="s">
        <v>143</v>
      </c>
      <c r="C72" s="1"/>
      <c r="D72" s="1"/>
      <c r="F72" s="1"/>
    </row>
    <row r="73" spans="1:36" s="3" customFormat="1" ht="24" customHeight="1" x14ac:dyDescent="0.25">
      <c r="AE73" s="254" t="s">
        <v>251</v>
      </c>
      <c r="AF73" s="261" t="s">
        <v>249</v>
      </c>
    </row>
    <row r="74" spans="1:36" x14ac:dyDescent="0.3">
      <c r="A74" s="264"/>
      <c r="B74" s="265"/>
      <c r="C74" s="266" t="s">
        <v>258</v>
      </c>
      <c r="D74" s="267"/>
      <c r="E74" s="266"/>
      <c r="F74" s="267"/>
      <c r="G74" s="266" t="s">
        <v>260</v>
      </c>
      <c r="H74" s="266"/>
      <c r="I74" s="266"/>
      <c r="J74" s="266"/>
      <c r="K74" s="266"/>
      <c r="L74" s="266"/>
      <c r="M74" s="266"/>
      <c r="N74" s="266" t="s">
        <v>259</v>
      </c>
      <c r="O74" s="266"/>
      <c r="P74" s="266"/>
      <c r="Q74" s="266"/>
      <c r="R74" s="266"/>
      <c r="S74" s="266"/>
      <c r="T74" s="266"/>
      <c r="U74" s="266"/>
      <c r="V74" s="266"/>
      <c r="W74" s="266"/>
      <c r="X74" s="266"/>
      <c r="Y74" s="266"/>
      <c r="Z74" s="266"/>
      <c r="AA74" s="266"/>
      <c r="AB74" s="266"/>
      <c r="AC74" s="266"/>
      <c r="AD74" s="266"/>
      <c r="AE74" s="266"/>
      <c r="AF74" s="266"/>
      <c r="AG74" s="266"/>
      <c r="AH74" s="266"/>
      <c r="AI74" s="266"/>
      <c r="AJ74" s="268"/>
    </row>
    <row r="75" spans="1:36" s="3" customFormat="1" x14ac:dyDescent="0.25"/>
  </sheetData>
  <dataConsolidate/>
  <mergeCells count="129">
    <mergeCell ref="R3:AE3"/>
    <mergeCell ref="R4:AE4"/>
    <mergeCell ref="R5:AE5"/>
    <mergeCell ref="R6:AE6"/>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C4:N4"/>
    <mergeCell ref="O4:Q4"/>
    <mergeCell ref="AA8:AA9"/>
    <mergeCell ref="Y8:Y9"/>
    <mergeCell ref="Z8:Z9"/>
    <mergeCell ref="G8:G9"/>
    <mergeCell ref="H8:H9"/>
    <mergeCell ref="I8:I9"/>
    <mergeCell ref="K34:K39"/>
    <mergeCell ref="K46:K51"/>
    <mergeCell ref="K40:K45"/>
    <mergeCell ref="K28:K33"/>
    <mergeCell ref="K22:K27"/>
    <mergeCell ref="P18:P19"/>
    <mergeCell ref="C16:C17"/>
    <mergeCell ref="D16:D17"/>
    <mergeCell ref="E16:E17"/>
    <mergeCell ref="F16:F17"/>
    <mergeCell ref="A16:A17"/>
    <mergeCell ref="AE8:AE9"/>
    <mergeCell ref="AJ8:AJ9"/>
    <mergeCell ref="AI8:AI9"/>
    <mergeCell ref="AH8:AH9"/>
    <mergeCell ref="AG8:AG9"/>
    <mergeCell ref="AF8:AF9"/>
    <mergeCell ref="L8:L9"/>
    <mergeCell ref="M8:M9"/>
    <mergeCell ref="B8:B9"/>
    <mergeCell ref="N8:N9"/>
    <mergeCell ref="J8:J9"/>
    <mergeCell ref="K8:K9"/>
    <mergeCell ref="Q8:Q9"/>
    <mergeCell ref="R8:W8"/>
    <mergeCell ref="P16:P17"/>
    <mergeCell ref="AE16:AE17"/>
    <mergeCell ref="AF16:AF17"/>
    <mergeCell ref="AJ16:AJ17"/>
    <mergeCell ref="AG16:AG17"/>
    <mergeCell ref="AH16:AH17"/>
    <mergeCell ref="AI16:AI17"/>
    <mergeCell ref="AD16:AD17"/>
    <mergeCell ref="A58:A63"/>
    <mergeCell ref="B58:B63"/>
    <mergeCell ref="C58:C63"/>
    <mergeCell ref="D58:D63"/>
    <mergeCell ref="E58:E63"/>
    <mergeCell ref="F58:F63"/>
    <mergeCell ref="G58:G63"/>
    <mergeCell ref="H58:H63"/>
    <mergeCell ref="I58:I63"/>
    <mergeCell ref="A1:AJ2"/>
    <mergeCell ref="A7:G7"/>
    <mergeCell ref="H7:N7"/>
    <mergeCell ref="O7:W7"/>
    <mergeCell ref="X7:AD7"/>
    <mergeCell ref="AE7:AJ7"/>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AB16:AB17"/>
    <mergeCell ref="AC16:AC17"/>
    <mergeCell ref="N64:N69"/>
    <mergeCell ref="B70:AJ70"/>
    <mergeCell ref="B16:B17"/>
    <mergeCell ref="G16:G17"/>
    <mergeCell ref="H16:H17"/>
    <mergeCell ref="I16:I17"/>
    <mergeCell ref="J16:J17"/>
    <mergeCell ref="L16:L17"/>
    <mergeCell ref="M16:M17"/>
    <mergeCell ref="N16:N17"/>
    <mergeCell ref="O16:O17"/>
    <mergeCell ref="Q16:Q17"/>
    <mergeCell ref="R16:R17"/>
    <mergeCell ref="S16:S17"/>
    <mergeCell ref="T16:T17"/>
    <mergeCell ref="U16:U17"/>
    <mergeCell ref="V16:V17"/>
    <mergeCell ref="W16:W17"/>
    <mergeCell ref="Y16:Y17"/>
    <mergeCell ref="Z16:Z17"/>
    <mergeCell ref="AA16:AA17"/>
    <mergeCell ref="J58:J63"/>
    <mergeCell ref="K58:K63"/>
    <mergeCell ref="L58:L63"/>
    <mergeCell ref="K52:K57"/>
    <mergeCell ref="AF40:AF41"/>
    <mergeCell ref="AG40:AG41"/>
    <mergeCell ref="AF10:AF11"/>
    <mergeCell ref="P22:P23"/>
    <mergeCell ref="AE22:AE23"/>
    <mergeCell ref="AF22:AF23"/>
    <mergeCell ref="AG22:AG23"/>
    <mergeCell ref="AH22:AH23"/>
    <mergeCell ref="AG28:AG29"/>
    <mergeCell ref="AF28:AF29"/>
    <mergeCell ref="AG34:AG3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 Y18: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 AA18: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 AC18: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dataValidations count="1">
    <dataValidation allowBlank="1" showInputMessage="1" showErrorMessage="1" error="Recuerde que las acciones se generan bajo la medida de mitigar el riesgo" sqref="AE16:AE17 P10 AE11 AE22:AE23 AE29 AE35" xr:uid="{CC3CDC23-6A3A-42EA-B58D-12A45BE5B733}"/>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100-000000000000}">
          <x14:formula1>
            <xm:f>'Tabla Valoración controles'!$D$4:$D$6</xm:f>
          </x14:formula1>
          <xm:sqref>R10:R16 R18:R69</xm:sqref>
        </x14:dataValidation>
        <x14:dataValidation type="list" allowBlank="1" showInputMessage="1" showErrorMessage="1" xr:uid="{00000000-0002-0000-0100-000001000000}">
          <x14:formula1>
            <xm:f>'Tabla Valoración controles'!$D$7:$D$8</xm:f>
          </x14:formula1>
          <xm:sqref>S10:S16 S18:S69</xm:sqref>
        </x14:dataValidation>
        <x14:dataValidation type="list" allowBlank="1" showInputMessage="1" showErrorMessage="1" xr:uid="{00000000-0002-0000-0100-000002000000}">
          <x14:formula1>
            <xm:f>'Tabla Valoración controles'!$D$9:$D$10</xm:f>
          </x14:formula1>
          <xm:sqref>U10:U16 U18:U69</xm:sqref>
        </x14:dataValidation>
        <x14:dataValidation type="list" allowBlank="1" showInputMessage="1" showErrorMessage="1" xr:uid="{00000000-0002-0000-0100-000003000000}">
          <x14:formula1>
            <xm:f>'Tabla Valoración controles'!$D$11:$D$12</xm:f>
          </x14:formula1>
          <xm:sqref>V10:V16 V18:V69</xm:sqref>
        </x14:dataValidation>
        <x14:dataValidation type="list" allowBlank="1" showInputMessage="1" showErrorMessage="1" xr:uid="{00000000-0002-0000-0100-000004000000}">
          <x14:formula1>
            <xm:f>'Opciones Tratamiento'!$B$9:$B$10</xm:f>
          </x14:formula1>
          <xm:sqref>AJ10:AJ11 AJ13:AJ14 AJ67:AJ68 AJ19:AJ20 AJ22:AJ23 AJ25:AJ26 AJ28:AJ29 AJ31:AJ32 AJ34:AJ35 AJ37:AJ38 AJ40:AJ41 AJ43:AJ44 AJ46:AJ47 AJ49:AJ50 AJ52:AJ53 AJ55:AJ56 AJ58:AJ59 AJ61:AJ62 AJ64:AJ65 AJ16</xm:sqref>
        </x14:dataValidation>
        <x14:dataValidation type="list" allowBlank="1" showInputMessage="1" showErrorMessage="1" xr:uid="{00000000-0002-0000-0100-000005000000}">
          <x14:formula1>
            <xm:f>'Tabla Valoración controles'!$D$13:$D$14</xm:f>
          </x14:formula1>
          <xm:sqref>W10:W16 W18:W69</xm:sqref>
        </x14:dataValidation>
        <x14:dataValidation type="list" allowBlank="1" showInputMessage="1" showErrorMessage="1" xr:uid="{00000000-0002-0000-0100-000006000000}">
          <x14:formula1>
            <xm:f>'Opciones Tratamiento'!$B$13:$B$19</xm:f>
          </x14:formula1>
          <xm:sqref>F10:F16 F18:F69</xm:sqref>
        </x14:dataValidation>
        <x14:dataValidation type="list" allowBlank="1" showInputMessage="1" showErrorMessage="1" xr:uid="{00000000-0002-0000-0100-000007000000}">
          <x14:formula1>
            <xm:f>'Opciones Tratamiento'!$E$2:$E$4</xm:f>
          </x14:formula1>
          <xm:sqref>B10:B16 B18:B69</xm:sqref>
        </x14:dataValidation>
        <x14:dataValidation type="list" allowBlank="1" showInputMessage="1" showErrorMessage="1" xr:uid="{00000000-0002-0000-0100-000008000000}">
          <x14:formula1>
            <xm:f>'Opciones Tratamiento'!$B$2:$B$5</xm:f>
          </x14:formula1>
          <xm:sqref>AD10:AD16 AD18:AD69</xm:sqref>
        </x14:dataValidation>
        <x14:dataValidation type="list" allowBlank="1" showInputMessage="1" showErrorMessage="1" xr:uid="{00000000-0002-0000-0100-000009000000}">
          <x14:formula1>
            <xm:f>'Tabla Impacto'!$F$210:$F$221</xm:f>
          </x14:formula1>
          <xm:sqref>J10:J16 J18:J69</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AE41:AE69 AE18:AE21 AE24:AE27 AE12:AE15 AE30:AE33 AE36:AE39</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AF36:AF39 AF12:AF15 AF18:AF21 AF24:AF27 AF30:AF33 AF42:AF69</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AG36:AG39 AG18:AG21 AG24:AG27 AG12:AG15 AG30:AG33 AG53:AG69 AG47:AG51 AG42:AG45</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 AH18:AH21 AH12:AH15 AH30:AH34 AH24:AH27 AH36:AH39 AH41:AH69</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AI53:AI69 AI18:AI21 AI24:AI27 AI12:AI15 AI30:AI32 AI41:AI45 AI47:AI51 AI36:AI39</xm:sqref>
        </x14:dataValidation>
        <x14:dataValidation type="custom" allowBlank="1" showInputMessage="1" showErrorMessage="1" error="Recuerde que las acciones se generan bajo la medida de mitigar el riesgo" xr:uid="{D1DDA2B8-9922-452D-9B2C-A06EDA4A3AE3}">
          <x14:formula1>
            <xm:f>IF(OR(AD33='D:\Users\JHANNIER\Desktop\[MAPA DE RIESGOS PROCESO GESTIÓN TALENTO HUMANO FINAL.xlsx]Opciones Tratamiento'!#REF!,AD33='D:\Users\JHANNIER\Desktop\[MAPA DE RIESGOS PROCESO GESTIÓN TALENTO HUMANO FINAL.xlsx]Opciones Tratamiento'!#REF!,AD33='D:\Users\JHANNIER\Desktop\[MAPA DE RIESGOS PROCESO GESTIÓN TALENTO HUMANO FINAL.xlsx]Opciones Tratamiento'!#REF!),ISBLANK(AD33),ISTEXT(AD33))</xm:f>
          </x14:formula1>
          <xm:sqref>AI52 AI33 AI46</xm:sqref>
        </x14:dataValidation>
        <x14:dataValidation type="custom" allowBlank="1" showInputMessage="1" showErrorMessage="1" error="Recuerde que las acciones se generan bajo la medida de mitigar el riesgo" xr:uid="{F87B0816-5BDA-4E77-827B-7393C5DAA4B2}">
          <x14:formula1>
            <xm:f>IF(OR(AD16='D:\Users\JHANNIER\Desktop\[MAPA DE RIESGOS PROCESO GESTIÓN FINANCIERA FINAL.xlsx]Opciones Tratamiento'!#REF!,AD16='D:\Users\JHANNIER\Desktop\[MAPA DE RIESGOS PROCESO GESTIÓN FINANCIERA FINAL.xlsx]Opciones Tratamiento'!#REF!,AD16='D:\Users\JHANNIER\Desktop\[MAPA DE RIESGOS PROCESO GESTIÓN FINANCIERA FINAL.xlsx]Opciones Tratamiento'!#REF!),ISBLANK(AD16),ISTEXT(AD16))</xm:f>
          </x14:formula1>
          <xm:sqref>AI16</xm:sqref>
        </x14:dataValidation>
        <x14:dataValidation type="custom" allowBlank="1" showInputMessage="1" showErrorMessage="1" error="Recuerde que las acciones se generan bajo la medida de mitigar el riesgo" xr:uid="{3685D096-8FDD-41C4-99F3-DE2CE0E3E945}">
          <x14:formula1>
            <xm:f>IF(OR(AC10='D:\Users\JHANNIER\Desktop\[MAPA DE RIESGOS PROCESO GESTIÓN FINANCIERA FINAL.xlsx]Opciones Tratamiento'!#REF!,AC10='D:\Users\JHANNIER\Desktop\[MAPA DE RIESGOS PROCESO GESTIÓN FINANCIERA FINAL.xlsx]Opciones Tratamiento'!#REF!,AC10='D:\Users\JHANNIER\Desktop\[MAPA DE RIESGOS PROCESO GESTIÓN FINANCIERA FINAL.xlsx]Opciones Tratamiento'!#REF!),ISBLANK(AC10),ISTEXT(AC10))</xm:f>
          </x14:formula1>
          <xm:sqref>AG52 AH16 AG10 AG46</xm:sqref>
        </x14:dataValidation>
        <x14:dataValidation type="custom" allowBlank="1" showInputMessage="1" showErrorMessage="1" error="Recuerde que las acciones se generan bajo la medida de mitigar el riesgo" xr:uid="{1C99DAC5-BFC0-476D-B31E-65E09C318C9A}">
          <x14:formula1>
            <xm:f>IF(OR(AD16='D:\Users\JHANNIER\Desktop\[MAPA DE RIESGOS PROCESO GESTIÓN FINANCIERA FINAL.xlsx]Opciones Tratamiento'!#REF!,AD16='D:\Users\JHANNIER\Desktop\[MAPA DE RIESGOS PROCESO GESTIÓN FINANCIERA FINAL.xlsx]Opciones Tratamiento'!#REF!,AD16='D:\Users\JHANNIER\Desktop\[MAPA DE RIESGOS PROCESO GESTIÓN FINANCIERA FINAL.xlsx]Opciones Tratamiento'!#REF!),ISBLANK(AD16),ISTEXT(AD16))</xm:f>
          </x14:formula1>
          <xm:sqref>AG16</xm:sqref>
        </x14:dataValidation>
        <x14:dataValidation type="custom" allowBlank="1" showInputMessage="1" showErrorMessage="1" error="Recuerde que las acciones se generan bajo la medida de mitigar el riesgo" xr:uid="{5228072D-CDBD-4FF9-ADD9-406215452D2B}">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AF10 AF16 AF22 AF28 AF40</xm:sqref>
        </x14:dataValidation>
        <x14:dataValidation type="custom" allowBlank="1" showInputMessage="1" showErrorMessage="1" error="Recuerde que las acciones se generan bajo la medida de mitigar el riesgo" xr:uid="{AE1F9291-7A57-4158-9C7B-86A675A777F9}">
          <x14:formula1>
            <xm:f>IF(OR(AD22='D:\Users\JHANNIER\Desktop\[MAPA DE RIESGOS PROCESO GESTIÓN TALENTO HUMANO FINAL.xlsx]Opciones Tratamiento'!#REF!,AD22='D:\Users\JHANNIER\Desktop\[MAPA DE RIESGOS PROCESO GESTIÓN TALENTO HUMANO FINAL.xlsx]Opciones Tratamiento'!#REF!,AD22='D:\Users\JHANNIER\Desktop\[MAPA DE RIESGOS PROCESO GESTIÓN TALENTO HUMANO FINAL.xlsx]Opciones Tratamiento'!#REF!),ISBLANK(AD22),ISTEXT(AD22))</xm:f>
          </x14:formula1>
          <xm:sqref>AG22:AH22 AG28 AG34 AG40</xm:sqref>
        </x14:dataValidation>
        <x14:dataValidation type="custom" allowBlank="1" showInputMessage="1" showErrorMessage="1" error="Recuerde que las acciones se generan bajo la medida de mitigar el riesgo" xr:uid="{595379B5-8BB7-4AA7-B383-3F9FD11AE599}">
          <x14:formula1>
            <xm:f>IF(OR(AD22='D:\Users\JHANNIER\Desktop\[MAPA DE RIESGOS PROCESO GESTIÓN TALENTO HUMANO FINAL.xlsx]Opciones Tratamiento'!#REF!,AD22='D:\Users\JHANNIER\Desktop\[MAPA DE RIESGOS PROCESO GESTIÓN TALENTO HUMANO FINAL.xlsx]Opciones Tratamiento'!#REF!,AD22='D:\Users\JHANNIER\Desktop\[MAPA DE RIESGOS PROCESO GESTIÓN TALENTO HUMANO FINAL.xlsx]Opciones Tratamiento'!#REF!),ISBLANK(AD22),ISTEXT(AD22))</xm:f>
          </x14:formula1>
          <xm:sqref>AI22 AI28 AI34 AI40</xm:sqref>
        </x14:dataValidation>
        <x14:dataValidation type="custom" allowBlank="1" showInputMessage="1" showErrorMessage="1" error="Recuerde que las acciones se generan bajo la medida de mitigar el riesgo" xr:uid="{CF9AA93D-74A7-4B9B-8BDB-5F24B75C2895}">
          <x14:formula1>
            <xm:f>IF(OR(AD28='D:\Users\JHANNIER\Desktop\[MAPA DE RIESGOS PROCESO GESTIÓN TALENTO HUMANO FINAL.xlsx]Opciones Tratamiento'!#REF!,AD28='D:\Users\JHANNIER\Desktop\[MAPA DE RIESGOS PROCESO GESTIÓN TALENTO HUMANO FINAL.xlsx]Opciones Tratamiento'!#REF!,AD28='D:\Users\JHANNIER\Desktop\[MAPA DE RIESGOS PROCESO GESTIÓN TALENTO HUMANO FINAL.xlsx]Opciones Tratamiento'!#REF!),ISBLANK(AD28),ISTEXT(AD28))</xm:f>
          </x14:formula1>
          <xm:sqref>AH28 AH40</xm:sqref>
        </x14:dataValidation>
        <x14:dataValidation type="custom" allowBlank="1" showInputMessage="1" showErrorMessage="1" error="Recuerde que las acciones se generan bajo la medida de mitigar el riesgo" xr:uid="{2F43D6C2-707D-4159-97AE-5E730DCA7DBC}">
          <x14:formula1>
            <xm:f>IF(OR(AE34='[7.1  MAPA RIESGOS FINAL Y ACTUALIZADO VIVIENDA Y URBANISMO.xlsx]Opciones Tratamiento'!#REF!,AE34='[7.1  MAPA RIESGOS FINAL Y ACTUALIZADO VIVIENDA Y URBANISMO.xlsx]Opciones Tratamiento'!#REF!,AE34='[7.1  MAPA RIESGOS FINAL Y ACTUALIZADO VIVIENDA Y URBANISMO.xlsx]Opciones Tratamiento'!#REF!),ISBLANK(AE34),ISTEXT(AE34))</xm:f>
          </x14:formula1>
          <xm:sqref>AF73 AF34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V46" sqref="V46:AA51"/>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84" t="s">
        <v>161</v>
      </c>
      <c r="C2" s="484"/>
      <c r="D2" s="484"/>
      <c r="E2" s="484"/>
      <c r="F2" s="484"/>
      <c r="G2" s="484"/>
      <c r="H2" s="484"/>
      <c r="I2" s="484"/>
      <c r="J2" s="451" t="s">
        <v>2</v>
      </c>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84"/>
      <c r="C3" s="484"/>
      <c r="D3" s="484"/>
      <c r="E3" s="484"/>
      <c r="F3" s="484"/>
      <c r="G3" s="484"/>
      <c r="H3" s="484"/>
      <c r="I3" s="484"/>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84"/>
      <c r="C4" s="484"/>
      <c r="D4" s="484"/>
      <c r="E4" s="484"/>
      <c r="F4" s="484"/>
      <c r="G4" s="484"/>
      <c r="H4" s="484"/>
      <c r="I4" s="484"/>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97" t="s">
        <v>4</v>
      </c>
      <c r="C6" s="397"/>
      <c r="D6" s="398"/>
      <c r="E6" s="435" t="s">
        <v>116</v>
      </c>
      <c r="F6" s="436"/>
      <c r="G6" s="436"/>
      <c r="H6" s="436"/>
      <c r="I6" s="437"/>
      <c r="J6" s="447" t="str">
        <f>IF(AND('Mapa final'!$H$10="Muy Alta",'Mapa final'!$L$10="Leve"),CONCATENATE("R",'Mapa final'!$A$10),"")</f>
        <v/>
      </c>
      <c r="K6" s="448"/>
      <c r="L6" s="448" t="str">
        <f>IF(AND('Mapa final'!$H$16="Muy Alta",'Mapa final'!$L$16="Leve"),CONCATENATE("R",'Mapa final'!$A$16),"")</f>
        <v/>
      </c>
      <c r="M6" s="448"/>
      <c r="N6" s="448" t="str">
        <f>IF(AND('Mapa final'!$H$22="Muy Alta",'Mapa final'!$L$22="Leve"),CONCATENATE("R",'Mapa final'!$A$22),"")</f>
        <v/>
      </c>
      <c r="O6" s="450"/>
      <c r="P6" s="447" t="str">
        <f>IF(AND('Mapa final'!$H$10="Muy Alta",'Mapa final'!$L$10="Menor"),CONCATENATE("R",'Mapa final'!$A$10),"")</f>
        <v/>
      </c>
      <c r="Q6" s="448"/>
      <c r="R6" s="448" t="str">
        <f>IF(AND('Mapa final'!$H$16="Muy Alta",'Mapa final'!$L$16="Menor"),CONCATENATE("R",'Mapa final'!$A$16),"")</f>
        <v/>
      </c>
      <c r="S6" s="448"/>
      <c r="T6" s="448" t="str">
        <f>IF(AND('Mapa final'!$H$22="Muy Alta",'Mapa final'!$L$22="Menor"),CONCATENATE("R",'Mapa final'!$A$22),"")</f>
        <v/>
      </c>
      <c r="U6" s="450"/>
      <c r="V6" s="447" t="str">
        <f>IF(AND('Mapa final'!$H$10="Muy Alta",'Mapa final'!$L$10="Moderado"),CONCATENATE("R",'Mapa final'!$A$10),"")</f>
        <v/>
      </c>
      <c r="W6" s="448"/>
      <c r="X6" s="448" t="str">
        <f>IF(AND('Mapa final'!$H$16="Muy Alta",'Mapa final'!$L$16="Moderado"),CONCATENATE("R",'Mapa final'!$A$16),"")</f>
        <v/>
      </c>
      <c r="Y6" s="448"/>
      <c r="Z6" s="448" t="str">
        <f>IF(AND('Mapa final'!$H$22="Muy Alta",'Mapa final'!$L$22="Moderado"),CONCATENATE("R",'Mapa final'!$A$22),"")</f>
        <v/>
      </c>
      <c r="AA6" s="450"/>
      <c r="AB6" s="447" t="str">
        <f>IF(AND('Mapa final'!$H$10="Muy Alta",'Mapa final'!$L$10="Mayor"),CONCATENATE("R",'Mapa final'!$A$10),"")</f>
        <v/>
      </c>
      <c r="AC6" s="448"/>
      <c r="AD6" s="448" t="str">
        <f>IF(AND('Mapa final'!$H$16="Muy Alta",'Mapa final'!$L$16="Mayor"),CONCATENATE("R",'Mapa final'!$A$16),"")</f>
        <v/>
      </c>
      <c r="AE6" s="448"/>
      <c r="AF6" s="448" t="str">
        <f>IF(AND('Mapa final'!$H$22="Muy Alta",'Mapa final'!$L$22="Mayor"),CONCATENATE("R",'Mapa final'!$A$22),"")</f>
        <v/>
      </c>
      <c r="AG6" s="450"/>
      <c r="AH6" s="463" t="str">
        <f>IF(AND('Mapa final'!$H$10="Muy Alta",'Mapa final'!$L$10="Catastrófico"),CONCATENATE("R",'Mapa final'!$A$10),"")</f>
        <v/>
      </c>
      <c r="AI6" s="464"/>
      <c r="AJ6" s="464" t="str">
        <f>IF(AND('Mapa final'!$H$16="Muy Alta",'Mapa final'!$L$16="Catastrófico"),CONCATENATE("R",'Mapa final'!$A$16),"")</f>
        <v/>
      </c>
      <c r="AK6" s="464"/>
      <c r="AL6" s="464" t="str">
        <f>IF(AND('Mapa final'!$H$22="Muy Alta",'Mapa final'!$L$22="Catastrófico"),CONCATENATE("R",'Mapa final'!$A$22),"")</f>
        <v/>
      </c>
      <c r="AM6" s="465"/>
      <c r="AO6" s="399" t="s">
        <v>79</v>
      </c>
      <c r="AP6" s="400"/>
      <c r="AQ6" s="400"/>
      <c r="AR6" s="400"/>
      <c r="AS6" s="400"/>
      <c r="AT6" s="40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97"/>
      <c r="C7" s="397"/>
      <c r="D7" s="398"/>
      <c r="E7" s="438"/>
      <c r="F7" s="439"/>
      <c r="G7" s="439"/>
      <c r="H7" s="439"/>
      <c r="I7" s="440"/>
      <c r="J7" s="449"/>
      <c r="K7" s="446"/>
      <c r="L7" s="446"/>
      <c r="M7" s="446"/>
      <c r="N7" s="446"/>
      <c r="O7" s="445"/>
      <c r="P7" s="449"/>
      <c r="Q7" s="446"/>
      <c r="R7" s="446"/>
      <c r="S7" s="446"/>
      <c r="T7" s="446"/>
      <c r="U7" s="445"/>
      <c r="V7" s="449"/>
      <c r="W7" s="446"/>
      <c r="X7" s="446"/>
      <c r="Y7" s="446"/>
      <c r="Z7" s="446"/>
      <c r="AA7" s="445"/>
      <c r="AB7" s="449"/>
      <c r="AC7" s="446"/>
      <c r="AD7" s="446"/>
      <c r="AE7" s="446"/>
      <c r="AF7" s="446"/>
      <c r="AG7" s="445"/>
      <c r="AH7" s="457"/>
      <c r="AI7" s="458"/>
      <c r="AJ7" s="458"/>
      <c r="AK7" s="458"/>
      <c r="AL7" s="458"/>
      <c r="AM7" s="459"/>
      <c r="AN7" s="83"/>
      <c r="AO7" s="402"/>
      <c r="AP7" s="403"/>
      <c r="AQ7" s="403"/>
      <c r="AR7" s="403"/>
      <c r="AS7" s="403"/>
      <c r="AT7" s="40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97"/>
      <c r="C8" s="397"/>
      <c r="D8" s="398"/>
      <c r="E8" s="438"/>
      <c r="F8" s="439"/>
      <c r="G8" s="439"/>
      <c r="H8" s="439"/>
      <c r="I8" s="440"/>
      <c r="J8" s="449" t="str">
        <f>IF(AND('Mapa final'!$H$28="Muy Alta",'Mapa final'!$L$28="Leve"),CONCATENATE("R",'Mapa final'!$A$28),"")</f>
        <v/>
      </c>
      <c r="K8" s="446"/>
      <c r="L8" s="444" t="str">
        <f>IF(AND('Mapa final'!$H$34="Muy Alta",'Mapa final'!$L$34="Leve"),CONCATENATE("R",'Mapa final'!$A$34),"")</f>
        <v/>
      </c>
      <c r="M8" s="444"/>
      <c r="N8" s="444" t="str">
        <f>IF(AND('Mapa final'!$H$40="Muy Alta",'Mapa final'!$L$40="Leve"),CONCATENATE("R",'Mapa final'!$A$40),"")</f>
        <v/>
      </c>
      <c r="O8" s="445"/>
      <c r="P8" s="449" t="str">
        <f>IF(AND('Mapa final'!$H$28="Muy Alta",'Mapa final'!$L$28="Menor"),CONCATENATE("R",'Mapa final'!$A$28),"")</f>
        <v/>
      </c>
      <c r="Q8" s="446"/>
      <c r="R8" s="444" t="str">
        <f>IF(AND('Mapa final'!$H$34="Muy Alta",'Mapa final'!$L$34="Menor"),CONCATENATE("R",'Mapa final'!$A$34),"")</f>
        <v/>
      </c>
      <c r="S8" s="444"/>
      <c r="T8" s="444" t="str">
        <f>IF(AND('Mapa final'!$H$40="Muy Alta",'Mapa final'!$L$40="Menor"),CONCATENATE("R",'Mapa final'!$A$40),"")</f>
        <v/>
      </c>
      <c r="U8" s="445"/>
      <c r="V8" s="449" t="str">
        <f>IF(AND('Mapa final'!$H$28="Muy Alta",'Mapa final'!$L$28="Moderado"),CONCATENATE("R",'Mapa final'!$A$28),"")</f>
        <v/>
      </c>
      <c r="W8" s="446"/>
      <c r="X8" s="444" t="str">
        <f>IF(AND('Mapa final'!$H$34="Muy Alta",'Mapa final'!$L$34="Moderado"),CONCATENATE("R",'Mapa final'!$A$34),"")</f>
        <v/>
      </c>
      <c r="Y8" s="444"/>
      <c r="Z8" s="444" t="str">
        <f>IF(AND('Mapa final'!$H$40="Muy Alta",'Mapa final'!$L$40="Moderado"),CONCATENATE("R",'Mapa final'!$A$40),"")</f>
        <v/>
      </c>
      <c r="AA8" s="445"/>
      <c r="AB8" s="449" t="str">
        <f>IF(AND('Mapa final'!$H$28="Muy Alta",'Mapa final'!$L$28="Mayor"),CONCATENATE("R",'Mapa final'!$A$28),"")</f>
        <v/>
      </c>
      <c r="AC8" s="446"/>
      <c r="AD8" s="444" t="str">
        <f>IF(AND('Mapa final'!$H$34="Muy Alta",'Mapa final'!$L$34="Mayor"),CONCATENATE("R",'Mapa final'!$A$34),"")</f>
        <v/>
      </c>
      <c r="AE8" s="444"/>
      <c r="AF8" s="444" t="str">
        <f>IF(AND('Mapa final'!$H$40="Muy Alta",'Mapa final'!$L$40="Mayor"),CONCATENATE("R",'Mapa final'!$A$40),"")</f>
        <v/>
      </c>
      <c r="AG8" s="445"/>
      <c r="AH8" s="457" t="str">
        <f>IF(AND('Mapa final'!$H$28="Muy Alta",'Mapa final'!$L$28="Catastrófico"),CONCATENATE("R",'Mapa final'!$A$28),"")</f>
        <v/>
      </c>
      <c r="AI8" s="458"/>
      <c r="AJ8" s="458" t="str">
        <f>IF(AND('Mapa final'!$H$34="Muy Alta",'Mapa final'!$L$34="Catastrófico"),CONCATENATE("R",'Mapa final'!$A$34),"")</f>
        <v/>
      </c>
      <c r="AK8" s="458"/>
      <c r="AL8" s="458" t="str">
        <f>IF(AND('Mapa final'!$H$40="Muy Alta",'Mapa final'!$L$40="Catastrófico"),CONCATENATE("R",'Mapa final'!$A$40),"")</f>
        <v/>
      </c>
      <c r="AM8" s="459"/>
      <c r="AN8" s="83"/>
      <c r="AO8" s="402"/>
      <c r="AP8" s="403"/>
      <c r="AQ8" s="403"/>
      <c r="AR8" s="403"/>
      <c r="AS8" s="403"/>
      <c r="AT8" s="40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97"/>
      <c r="C9" s="397"/>
      <c r="D9" s="398"/>
      <c r="E9" s="438"/>
      <c r="F9" s="439"/>
      <c r="G9" s="439"/>
      <c r="H9" s="439"/>
      <c r="I9" s="440"/>
      <c r="J9" s="449"/>
      <c r="K9" s="446"/>
      <c r="L9" s="444"/>
      <c r="M9" s="444"/>
      <c r="N9" s="444"/>
      <c r="O9" s="445"/>
      <c r="P9" s="449"/>
      <c r="Q9" s="446"/>
      <c r="R9" s="444"/>
      <c r="S9" s="444"/>
      <c r="T9" s="444"/>
      <c r="U9" s="445"/>
      <c r="V9" s="449"/>
      <c r="W9" s="446"/>
      <c r="X9" s="444"/>
      <c r="Y9" s="444"/>
      <c r="Z9" s="444"/>
      <c r="AA9" s="445"/>
      <c r="AB9" s="449"/>
      <c r="AC9" s="446"/>
      <c r="AD9" s="444"/>
      <c r="AE9" s="444"/>
      <c r="AF9" s="444"/>
      <c r="AG9" s="445"/>
      <c r="AH9" s="457"/>
      <c r="AI9" s="458"/>
      <c r="AJ9" s="458"/>
      <c r="AK9" s="458"/>
      <c r="AL9" s="458"/>
      <c r="AM9" s="459"/>
      <c r="AN9" s="83"/>
      <c r="AO9" s="402"/>
      <c r="AP9" s="403"/>
      <c r="AQ9" s="403"/>
      <c r="AR9" s="403"/>
      <c r="AS9" s="403"/>
      <c r="AT9" s="40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97"/>
      <c r="C10" s="397"/>
      <c r="D10" s="398"/>
      <c r="E10" s="438"/>
      <c r="F10" s="439"/>
      <c r="G10" s="439"/>
      <c r="H10" s="439"/>
      <c r="I10" s="440"/>
      <c r="J10" s="449" t="str">
        <f>IF(AND('Mapa final'!$H$46="Muy Alta",'Mapa final'!$L$46="Leve"),CONCATENATE("R",'Mapa final'!$A$46),"")</f>
        <v/>
      </c>
      <c r="K10" s="446"/>
      <c r="L10" s="444" t="str">
        <f>IF(AND('Mapa final'!$H$52="Muy Alta",'Mapa final'!$L$52="Leve"),CONCATENATE("R",'Mapa final'!$A$52),"")</f>
        <v/>
      </c>
      <c r="M10" s="444"/>
      <c r="N10" s="444" t="str">
        <f>IF(AND('Mapa final'!$H$58="Muy Alta",'Mapa final'!$L$58="Leve"),CONCATENATE("R",'Mapa final'!$A$58),"")</f>
        <v/>
      </c>
      <c r="O10" s="445"/>
      <c r="P10" s="449" t="str">
        <f>IF(AND('Mapa final'!$H$46="Muy Alta",'Mapa final'!$L$46="Menor"),CONCATENATE("R",'Mapa final'!$A$46),"")</f>
        <v/>
      </c>
      <c r="Q10" s="446"/>
      <c r="R10" s="444" t="str">
        <f>IF(AND('Mapa final'!$H$52="Muy Alta",'Mapa final'!$L$52="Menor"),CONCATENATE("R",'Mapa final'!$A$52),"")</f>
        <v/>
      </c>
      <c r="S10" s="444"/>
      <c r="T10" s="444" t="str">
        <f>IF(AND('Mapa final'!$H$58="Muy Alta",'Mapa final'!$L$58="Menor"),CONCATENATE("R",'Mapa final'!$A$58),"")</f>
        <v/>
      </c>
      <c r="U10" s="445"/>
      <c r="V10" s="449" t="str">
        <f>IF(AND('Mapa final'!$H$46="Muy Alta",'Mapa final'!$L$46="Moderado"),CONCATENATE("R",'Mapa final'!$A$46),"")</f>
        <v/>
      </c>
      <c r="W10" s="446"/>
      <c r="X10" s="444" t="str">
        <f>IF(AND('Mapa final'!$H$52="Muy Alta",'Mapa final'!$L$52="Moderado"),CONCATENATE("R",'Mapa final'!$A$52),"")</f>
        <v/>
      </c>
      <c r="Y10" s="444"/>
      <c r="Z10" s="444" t="str">
        <f>IF(AND('Mapa final'!$H$58="Muy Alta",'Mapa final'!$L$58="Moderado"),CONCATENATE("R",'Mapa final'!$A$58),"")</f>
        <v/>
      </c>
      <c r="AA10" s="445"/>
      <c r="AB10" s="449" t="str">
        <f>IF(AND('Mapa final'!$H$46="Muy Alta",'Mapa final'!$L$46="Mayor"),CONCATENATE("R",'Mapa final'!$A$46),"")</f>
        <v/>
      </c>
      <c r="AC10" s="446"/>
      <c r="AD10" s="444" t="str">
        <f>IF(AND('Mapa final'!$H$52="Muy Alta",'Mapa final'!$L$52="Mayor"),CONCATENATE("R",'Mapa final'!$A$52),"")</f>
        <v/>
      </c>
      <c r="AE10" s="444"/>
      <c r="AF10" s="444" t="str">
        <f>IF(AND('Mapa final'!$H$58="Muy Alta",'Mapa final'!$L$58="Mayor"),CONCATENATE("R",'Mapa final'!$A$58),"")</f>
        <v/>
      </c>
      <c r="AG10" s="445"/>
      <c r="AH10" s="457" t="str">
        <f>IF(AND('Mapa final'!$H$46="Muy Alta",'Mapa final'!$L$46="Catastrófico"),CONCATENATE("R",'Mapa final'!$A$46),"")</f>
        <v/>
      </c>
      <c r="AI10" s="458"/>
      <c r="AJ10" s="458" t="str">
        <f>IF(AND('Mapa final'!$H$52="Muy Alta",'Mapa final'!$L$52="Catastrófico"),CONCATENATE("R",'Mapa final'!$A$52),"")</f>
        <v/>
      </c>
      <c r="AK10" s="458"/>
      <c r="AL10" s="458" t="str">
        <f>IF(AND('Mapa final'!$H$58="Muy Alta",'Mapa final'!$L$58="Catastrófico"),CONCATENATE("R",'Mapa final'!$A$58),"")</f>
        <v/>
      </c>
      <c r="AM10" s="459"/>
      <c r="AN10" s="83"/>
      <c r="AO10" s="402"/>
      <c r="AP10" s="403"/>
      <c r="AQ10" s="403"/>
      <c r="AR10" s="403"/>
      <c r="AS10" s="403"/>
      <c r="AT10" s="40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97"/>
      <c r="C11" s="397"/>
      <c r="D11" s="398"/>
      <c r="E11" s="438"/>
      <c r="F11" s="439"/>
      <c r="G11" s="439"/>
      <c r="H11" s="439"/>
      <c r="I11" s="440"/>
      <c r="J11" s="449"/>
      <c r="K11" s="446"/>
      <c r="L11" s="444"/>
      <c r="M11" s="444"/>
      <c r="N11" s="444"/>
      <c r="O11" s="445"/>
      <c r="P11" s="449"/>
      <c r="Q11" s="446"/>
      <c r="R11" s="444"/>
      <c r="S11" s="444"/>
      <c r="T11" s="444"/>
      <c r="U11" s="445"/>
      <c r="V11" s="449"/>
      <c r="W11" s="446"/>
      <c r="X11" s="444"/>
      <c r="Y11" s="444"/>
      <c r="Z11" s="444"/>
      <c r="AA11" s="445"/>
      <c r="AB11" s="449"/>
      <c r="AC11" s="446"/>
      <c r="AD11" s="444"/>
      <c r="AE11" s="444"/>
      <c r="AF11" s="444"/>
      <c r="AG11" s="445"/>
      <c r="AH11" s="457"/>
      <c r="AI11" s="458"/>
      <c r="AJ11" s="458"/>
      <c r="AK11" s="458"/>
      <c r="AL11" s="458"/>
      <c r="AM11" s="459"/>
      <c r="AN11" s="83"/>
      <c r="AO11" s="402"/>
      <c r="AP11" s="403"/>
      <c r="AQ11" s="403"/>
      <c r="AR11" s="403"/>
      <c r="AS11" s="403"/>
      <c r="AT11" s="40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97"/>
      <c r="C12" s="397"/>
      <c r="D12" s="398"/>
      <c r="E12" s="438"/>
      <c r="F12" s="439"/>
      <c r="G12" s="439"/>
      <c r="H12" s="439"/>
      <c r="I12" s="440"/>
      <c r="J12" s="449" t="str">
        <f>IF(AND('Mapa final'!$H$64="Muy Alta",'Mapa final'!$L$64="Leve"),CONCATENATE("R",'Mapa final'!$A$64),"")</f>
        <v/>
      </c>
      <c r="K12" s="446"/>
      <c r="L12" s="444" t="str">
        <f>IF(AND('Mapa final'!$H$70="Muy Alta",'Mapa final'!$L$70="Leve"),CONCATENATE("R",'Mapa final'!$A$70),"")</f>
        <v/>
      </c>
      <c r="M12" s="444"/>
      <c r="N12" s="444" t="str">
        <f>IF(AND('Mapa final'!$H$76="Muy Alta",'Mapa final'!$L$76="Leve"),CONCATENATE("R",'Mapa final'!$A$76),"")</f>
        <v/>
      </c>
      <c r="O12" s="445"/>
      <c r="P12" s="449" t="str">
        <f>IF(AND('Mapa final'!$H$64="Muy Alta",'Mapa final'!$L$64="Menor"),CONCATENATE("R",'Mapa final'!$A$64),"")</f>
        <v/>
      </c>
      <c r="Q12" s="446"/>
      <c r="R12" s="444" t="str">
        <f>IF(AND('Mapa final'!$H$70="Muy Alta",'Mapa final'!$L$70="Menor"),CONCATENATE("R",'Mapa final'!$A$70),"")</f>
        <v/>
      </c>
      <c r="S12" s="444"/>
      <c r="T12" s="444" t="str">
        <f>IF(AND('Mapa final'!$H$76="Muy Alta",'Mapa final'!$L$76="Menor"),CONCATENATE("R",'Mapa final'!$A$76),"")</f>
        <v/>
      </c>
      <c r="U12" s="445"/>
      <c r="V12" s="449" t="str">
        <f>IF(AND('Mapa final'!$H$64="Muy Alta",'Mapa final'!$L$64="Moderado"),CONCATENATE("R",'Mapa final'!$A$64),"")</f>
        <v/>
      </c>
      <c r="W12" s="446"/>
      <c r="X12" s="444" t="str">
        <f>IF(AND('Mapa final'!$H$70="Muy Alta",'Mapa final'!$L$70="Moderado"),CONCATENATE("R",'Mapa final'!$A$70),"")</f>
        <v/>
      </c>
      <c r="Y12" s="444"/>
      <c r="Z12" s="444" t="str">
        <f>IF(AND('Mapa final'!$H$76="Muy Alta",'Mapa final'!$L$76="Moderado"),CONCATENATE("R",'Mapa final'!$A$76),"")</f>
        <v/>
      </c>
      <c r="AA12" s="445"/>
      <c r="AB12" s="449" t="str">
        <f>IF(AND('Mapa final'!$H$64="Muy Alta",'Mapa final'!$L$64="Mayor"),CONCATENATE("R",'Mapa final'!$A$64),"")</f>
        <v/>
      </c>
      <c r="AC12" s="446"/>
      <c r="AD12" s="444" t="str">
        <f>IF(AND('Mapa final'!$H$70="Muy Alta",'Mapa final'!$L$70="Mayor"),CONCATENATE("R",'Mapa final'!$A$70),"")</f>
        <v/>
      </c>
      <c r="AE12" s="444"/>
      <c r="AF12" s="444" t="str">
        <f>IF(AND('Mapa final'!$H$76="Muy Alta",'Mapa final'!$L$76="Mayor"),CONCATENATE("R",'Mapa final'!$A$76),"")</f>
        <v/>
      </c>
      <c r="AG12" s="445"/>
      <c r="AH12" s="457" t="str">
        <f>IF(AND('Mapa final'!$H$64="Muy Alta",'Mapa final'!$L$64="Catastrófico"),CONCATENATE("R",'Mapa final'!$A$64),"")</f>
        <v/>
      </c>
      <c r="AI12" s="458"/>
      <c r="AJ12" s="458" t="str">
        <f>IF(AND('Mapa final'!$H$70="Muy Alta",'Mapa final'!$L$70="Catastrófico"),CONCATENATE("R",'Mapa final'!$A$70),"")</f>
        <v/>
      </c>
      <c r="AK12" s="458"/>
      <c r="AL12" s="458" t="str">
        <f>IF(AND('Mapa final'!$H$76="Muy Alta",'Mapa final'!$L$76="Catastrófico"),CONCATENATE("R",'Mapa final'!$A$76),"")</f>
        <v/>
      </c>
      <c r="AM12" s="459"/>
      <c r="AN12" s="83"/>
      <c r="AO12" s="402"/>
      <c r="AP12" s="403"/>
      <c r="AQ12" s="403"/>
      <c r="AR12" s="403"/>
      <c r="AS12" s="403"/>
      <c r="AT12" s="40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97"/>
      <c r="C13" s="397"/>
      <c r="D13" s="398"/>
      <c r="E13" s="441"/>
      <c r="F13" s="442"/>
      <c r="G13" s="442"/>
      <c r="H13" s="442"/>
      <c r="I13" s="443"/>
      <c r="J13" s="449"/>
      <c r="K13" s="446"/>
      <c r="L13" s="446"/>
      <c r="M13" s="446"/>
      <c r="N13" s="446"/>
      <c r="O13" s="445"/>
      <c r="P13" s="449"/>
      <c r="Q13" s="446"/>
      <c r="R13" s="446"/>
      <c r="S13" s="446"/>
      <c r="T13" s="446"/>
      <c r="U13" s="445"/>
      <c r="V13" s="449"/>
      <c r="W13" s="446"/>
      <c r="X13" s="446"/>
      <c r="Y13" s="446"/>
      <c r="Z13" s="446"/>
      <c r="AA13" s="445"/>
      <c r="AB13" s="449"/>
      <c r="AC13" s="446"/>
      <c r="AD13" s="446"/>
      <c r="AE13" s="446"/>
      <c r="AF13" s="446"/>
      <c r="AG13" s="445"/>
      <c r="AH13" s="460"/>
      <c r="AI13" s="461"/>
      <c r="AJ13" s="461"/>
      <c r="AK13" s="461"/>
      <c r="AL13" s="461"/>
      <c r="AM13" s="462"/>
      <c r="AN13" s="83"/>
      <c r="AO13" s="405"/>
      <c r="AP13" s="406"/>
      <c r="AQ13" s="406"/>
      <c r="AR13" s="406"/>
      <c r="AS13" s="406"/>
      <c r="AT13" s="40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97"/>
      <c r="C14" s="397"/>
      <c r="D14" s="398"/>
      <c r="E14" s="435" t="s">
        <v>115</v>
      </c>
      <c r="F14" s="436"/>
      <c r="G14" s="436"/>
      <c r="H14" s="436"/>
      <c r="I14" s="436"/>
      <c r="J14" s="472" t="str">
        <f>IF(AND('Mapa final'!$H$10="Alta",'Mapa final'!$L$10="Leve"),CONCATENATE("R",'Mapa final'!$A$10),"")</f>
        <v/>
      </c>
      <c r="K14" s="473"/>
      <c r="L14" s="473" t="str">
        <f>IF(AND('Mapa final'!$H$16="Alta",'Mapa final'!$L$16="Leve"),CONCATENATE("R",'Mapa final'!$A$16),"")</f>
        <v/>
      </c>
      <c r="M14" s="473"/>
      <c r="N14" s="473" t="str">
        <f>IF(AND('Mapa final'!$H$22="Alta",'Mapa final'!$L$22="Leve"),CONCATENATE("R",'Mapa final'!$A$22),"")</f>
        <v/>
      </c>
      <c r="O14" s="474"/>
      <c r="P14" s="472" t="str">
        <f>IF(AND('Mapa final'!$H$10="Alta",'Mapa final'!$L$10="Menor"),CONCATENATE("R",'Mapa final'!$A$10),"")</f>
        <v/>
      </c>
      <c r="Q14" s="473"/>
      <c r="R14" s="473" t="str">
        <f>IF(AND('Mapa final'!$H$16="Alta",'Mapa final'!$L$16="Menor"),CONCATENATE("R",'Mapa final'!$A$16),"")</f>
        <v/>
      </c>
      <c r="S14" s="473"/>
      <c r="T14" s="473" t="str">
        <f>IF(AND('Mapa final'!$H$22="Alta",'Mapa final'!$L$22="Menor"),CONCATENATE("R",'Mapa final'!$A$22),"")</f>
        <v/>
      </c>
      <c r="U14" s="474"/>
      <c r="V14" s="447" t="str">
        <f>IF(AND('Mapa final'!$H$10="Alta",'Mapa final'!$L$10="Moderado"),CONCATENATE("R",'Mapa final'!$A$10),"")</f>
        <v/>
      </c>
      <c r="W14" s="448"/>
      <c r="X14" s="448" t="str">
        <f>IF(AND('Mapa final'!$H$16="Alta",'Mapa final'!$L$16="Moderado"),CONCATENATE("R",'Mapa final'!$A$16),"")</f>
        <v/>
      </c>
      <c r="Y14" s="448"/>
      <c r="Z14" s="448" t="str">
        <f>IF(AND('Mapa final'!$H$22="Alta",'Mapa final'!$L$22="Moderado"),CONCATENATE("R",'Mapa final'!$A$22),"")</f>
        <v/>
      </c>
      <c r="AA14" s="450"/>
      <c r="AB14" s="447" t="str">
        <f>IF(AND('Mapa final'!$H$10="Alta",'Mapa final'!$L$10="Mayor"),CONCATENATE("R",'Mapa final'!$A$10),"")</f>
        <v/>
      </c>
      <c r="AC14" s="448"/>
      <c r="AD14" s="448" t="str">
        <f>IF(AND('Mapa final'!$H$16="Alta",'Mapa final'!$L$16="Mayor"),CONCATENATE("R",'Mapa final'!$A$16),"")</f>
        <v/>
      </c>
      <c r="AE14" s="448"/>
      <c r="AF14" s="448" t="str">
        <f>IF(AND('Mapa final'!$H$22="Alta",'Mapa final'!$L$22="Mayor"),CONCATENATE("R",'Mapa final'!$A$22),"")</f>
        <v/>
      </c>
      <c r="AG14" s="450"/>
      <c r="AH14" s="463" t="str">
        <f>IF(AND('Mapa final'!$H$10="Alta",'Mapa final'!$L$10="Catastrófico"),CONCATENATE("R",'Mapa final'!$A$10),"")</f>
        <v/>
      </c>
      <c r="AI14" s="464"/>
      <c r="AJ14" s="464" t="str">
        <f>IF(AND('Mapa final'!$H$16="Alta",'Mapa final'!$L$16="Catastrófico"),CONCATENATE("R",'Mapa final'!$A$16),"")</f>
        <v/>
      </c>
      <c r="AK14" s="464"/>
      <c r="AL14" s="464" t="str">
        <f>IF(AND('Mapa final'!$H$22="Alta",'Mapa final'!$L$22="Catastrófico"),CONCATENATE("R",'Mapa final'!$A$22),"")</f>
        <v/>
      </c>
      <c r="AM14" s="465"/>
      <c r="AN14" s="83"/>
      <c r="AO14" s="408" t="s">
        <v>80</v>
      </c>
      <c r="AP14" s="409"/>
      <c r="AQ14" s="409"/>
      <c r="AR14" s="409"/>
      <c r="AS14" s="409"/>
      <c r="AT14" s="41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97"/>
      <c r="C15" s="397"/>
      <c r="D15" s="398"/>
      <c r="E15" s="438"/>
      <c r="F15" s="439"/>
      <c r="G15" s="439"/>
      <c r="H15" s="439"/>
      <c r="I15" s="452"/>
      <c r="J15" s="466"/>
      <c r="K15" s="467"/>
      <c r="L15" s="467"/>
      <c r="M15" s="467"/>
      <c r="N15" s="467"/>
      <c r="O15" s="468"/>
      <c r="P15" s="466"/>
      <c r="Q15" s="467"/>
      <c r="R15" s="467"/>
      <c r="S15" s="467"/>
      <c r="T15" s="467"/>
      <c r="U15" s="468"/>
      <c r="V15" s="449"/>
      <c r="W15" s="446"/>
      <c r="X15" s="446"/>
      <c r="Y15" s="446"/>
      <c r="Z15" s="446"/>
      <c r="AA15" s="445"/>
      <c r="AB15" s="449"/>
      <c r="AC15" s="446"/>
      <c r="AD15" s="446"/>
      <c r="AE15" s="446"/>
      <c r="AF15" s="446"/>
      <c r="AG15" s="445"/>
      <c r="AH15" s="457"/>
      <c r="AI15" s="458"/>
      <c r="AJ15" s="458"/>
      <c r="AK15" s="458"/>
      <c r="AL15" s="458"/>
      <c r="AM15" s="459"/>
      <c r="AN15" s="83"/>
      <c r="AO15" s="411"/>
      <c r="AP15" s="412"/>
      <c r="AQ15" s="412"/>
      <c r="AR15" s="412"/>
      <c r="AS15" s="412"/>
      <c r="AT15" s="41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97"/>
      <c r="C16" s="397"/>
      <c r="D16" s="398"/>
      <c r="E16" s="438"/>
      <c r="F16" s="439"/>
      <c r="G16" s="439"/>
      <c r="H16" s="439"/>
      <c r="I16" s="452"/>
      <c r="J16" s="466" t="str">
        <f>IF(AND('Mapa final'!$H$28="Alta",'Mapa final'!$L$28="Leve"),CONCATENATE("R",'Mapa final'!$A$28),"")</f>
        <v/>
      </c>
      <c r="K16" s="467"/>
      <c r="L16" s="467" t="str">
        <f>IF(AND('Mapa final'!$H$34="Alta",'Mapa final'!$L$34="Leve"),CONCATENATE("R",'Mapa final'!$A$34),"")</f>
        <v/>
      </c>
      <c r="M16" s="467"/>
      <c r="N16" s="467" t="str">
        <f>IF(AND('Mapa final'!$H$40="Alta",'Mapa final'!$L$40="Leve"),CONCATENATE("R",'Mapa final'!$A$40),"")</f>
        <v/>
      </c>
      <c r="O16" s="468"/>
      <c r="P16" s="466" t="str">
        <f>IF(AND('Mapa final'!$H$28="Alta",'Mapa final'!$L$28="Menor"),CONCATENATE("R",'Mapa final'!$A$28),"")</f>
        <v/>
      </c>
      <c r="Q16" s="467"/>
      <c r="R16" s="467" t="str">
        <f>IF(AND('Mapa final'!$H$34="Alta",'Mapa final'!$L$34="Menor"),CONCATENATE("R",'Mapa final'!$A$34),"")</f>
        <v/>
      </c>
      <c r="S16" s="467"/>
      <c r="T16" s="467" t="str">
        <f>IF(AND('Mapa final'!$H$40="Alta",'Mapa final'!$L$40="Menor"),CONCATENATE("R",'Mapa final'!$A$40),"")</f>
        <v/>
      </c>
      <c r="U16" s="468"/>
      <c r="V16" s="449" t="str">
        <f>IF(AND('Mapa final'!$H$28="Alta",'Mapa final'!$L$28="Moderado"),CONCATENATE("R",'Mapa final'!$A$28),"")</f>
        <v/>
      </c>
      <c r="W16" s="446"/>
      <c r="X16" s="444" t="str">
        <f>IF(AND('Mapa final'!$H$34="Alta",'Mapa final'!$L$34="Moderado"),CONCATENATE("R",'Mapa final'!$A$34),"")</f>
        <v/>
      </c>
      <c r="Y16" s="444"/>
      <c r="Z16" s="444" t="str">
        <f>IF(AND('Mapa final'!$H$40="Alta",'Mapa final'!$L$40="Moderado"),CONCATENATE("R",'Mapa final'!$A$40),"")</f>
        <v/>
      </c>
      <c r="AA16" s="445"/>
      <c r="AB16" s="449" t="str">
        <f>IF(AND('Mapa final'!$H$28="Alta",'Mapa final'!$L$28="Mayor"),CONCATENATE("R",'Mapa final'!$A$28),"")</f>
        <v/>
      </c>
      <c r="AC16" s="446"/>
      <c r="AD16" s="444" t="str">
        <f>IF(AND('Mapa final'!$H$34="Alta",'Mapa final'!$L$34="Mayor"),CONCATENATE("R",'Mapa final'!$A$34),"")</f>
        <v/>
      </c>
      <c r="AE16" s="444"/>
      <c r="AF16" s="444" t="str">
        <f>IF(AND('Mapa final'!$H$40="Alta",'Mapa final'!$L$40="Mayor"),CONCATENATE("R",'Mapa final'!$A$40),"")</f>
        <v/>
      </c>
      <c r="AG16" s="445"/>
      <c r="AH16" s="457" t="str">
        <f>IF(AND('Mapa final'!$H$28="Alta",'Mapa final'!$L$28="Catastrófico"),CONCATENATE("R",'Mapa final'!$A$28),"")</f>
        <v/>
      </c>
      <c r="AI16" s="458"/>
      <c r="AJ16" s="458" t="str">
        <f>IF(AND('Mapa final'!$H$34="Alta",'Mapa final'!$L$34="Catastrófico"),CONCATENATE("R",'Mapa final'!$A$34),"")</f>
        <v/>
      </c>
      <c r="AK16" s="458"/>
      <c r="AL16" s="458" t="str">
        <f>IF(AND('Mapa final'!$H$40="Alta",'Mapa final'!$L$40="Catastrófico"),CONCATENATE("R",'Mapa final'!$A$40),"")</f>
        <v/>
      </c>
      <c r="AM16" s="459"/>
      <c r="AN16" s="83"/>
      <c r="AO16" s="411"/>
      <c r="AP16" s="412"/>
      <c r="AQ16" s="412"/>
      <c r="AR16" s="412"/>
      <c r="AS16" s="412"/>
      <c r="AT16" s="41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97"/>
      <c r="C17" s="397"/>
      <c r="D17" s="398"/>
      <c r="E17" s="438"/>
      <c r="F17" s="439"/>
      <c r="G17" s="439"/>
      <c r="H17" s="439"/>
      <c r="I17" s="452"/>
      <c r="J17" s="466"/>
      <c r="K17" s="467"/>
      <c r="L17" s="467"/>
      <c r="M17" s="467"/>
      <c r="N17" s="467"/>
      <c r="O17" s="468"/>
      <c r="P17" s="466"/>
      <c r="Q17" s="467"/>
      <c r="R17" s="467"/>
      <c r="S17" s="467"/>
      <c r="T17" s="467"/>
      <c r="U17" s="468"/>
      <c r="V17" s="449"/>
      <c r="W17" s="446"/>
      <c r="X17" s="444"/>
      <c r="Y17" s="444"/>
      <c r="Z17" s="444"/>
      <c r="AA17" s="445"/>
      <c r="AB17" s="449"/>
      <c r="AC17" s="446"/>
      <c r="AD17" s="444"/>
      <c r="AE17" s="444"/>
      <c r="AF17" s="444"/>
      <c r="AG17" s="445"/>
      <c r="AH17" s="457"/>
      <c r="AI17" s="458"/>
      <c r="AJ17" s="458"/>
      <c r="AK17" s="458"/>
      <c r="AL17" s="458"/>
      <c r="AM17" s="459"/>
      <c r="AN17" s="83"/>
      <c r="AO17" s="411"/>
      <c r="AP17" s="412"/>
      <c r="AQ17" s="412"/>
      <c r="AR17" s="412"/>
      <c r="AS17" s="412"/>
      <c r="AT17" s="41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97"/>
      <c r="C18" s="397"/>
      <c r="D18" s="398"/>
      <c r="E18" s="438"/>
      <c r="F18" s="439"/>
      <c r="G18" s="439"/>
      <c r="H18" s="439"/>
      <c r="I18" s="452"/>
      <c r="J18" s="466" t="str">
        <f>IF(AND('Mapa final'!$H$46="Alta",'Mapa final'!$L$46="Leve"),CONCATENATE("R",'Mapa final'!$A$46),"")</f>
        <v/>
      </c>
      <c r="K18" s="467"/>
      <c r="L18" s="467" t="str">
        <f>IF(AND('Mapa final'!$H$52="Alta",'Mapa final'!$L$52="Leve"),CONCATENATE("R",'Mapa final'!$A$52),"")</f>
        <v/>
      </c>
      <c r="M18" s="467"/>
      <c r="N18" s="467" t="str">
        <f>IF(AND('Mapa final'!$H$58="Alta",'Mapa final'!$L$58="Leve"),CONCATENATE("R",'Mapa final'!$A$58),"")</f>
        <v/>
      </c>
      <c r="O18" s="468"/>
      <c r="P18" s="466" t="str">
        <f>IF(AND('Mapa final'!$H$46="Alta",'Mapa final'!$L$46="Menor"),CONCATENATE("R",'Mapa final'!$A$46),"")</f>
        <v/>
      </c>
      <c r="Q18" s="467"/>
      <c r="R18" s="467" t="str">
        <f>IF(AND('Mapa final'!$H$52="Alta",'Mapa final'!$L$52="Menor"),CONCATENATE("R",'Mapa final'!$A$52),"")</f>
        <v/>
      </c>
      <c r="S18" s="467"/>
      <c r="T18" s="467" t="str">
        <f>IF(AND('Mapa final'!$H$58="Alta",'Mapa final'!$L$58="Menor"),CONCATENATE("R",'Mapa final'!$A$58),"")</f>
        <v/>
      </c>
      <c r="U18" s="468"/>
      <c r="V18" s="449" t="str">
        <f>IF(AND('Mapa final'!$H$46="Alta",'Mapa final'!$L$46="Moderado"),CONCATENATE("R",'Mapa final'!$A$46),"")</f>
        <v/>
      </c>
      <c r="W18" s="446"/>
      <c r="X18" s="444" t="str">
        <f>IF(AND('Mapa final'!$H$52="Alta",'Mapa final'!$L$52="Moderado"),CONCATENATE("R",'Mapa final'!$A$52),"")</f>
        <v/>
      </c>
      <c r="Y18" s="444"/>
      <c r="Z18" s="444" t="str">
        <f>IF(AND('Mapa final'!$H$58="Alta",'Mapa final'!$L$58="Moderado"),CONCATENATE("R",'Mapa final'!$A$58),"")</f>
        <v/>
      </c>
      <c r="AA18" s="445"/>
      <c r="AB18" s="449" t="str">
        <f>IF(AND('Mapa final'!$H$46="Alta",'Mapa final'!$L$46="Mayor"),CONCATENATE("R",'Mapa final'!$A$46),"")</f>
        <v/>
      </c>
      <c r="AC18" s="446"/>
      <c r="AD18" s="444" t="str">
        <f>IF(AND('Mapa final'!$H$52="Alta",'Mapa final'!$L$52="Mayor"),CONCATENATE("R",'Mapa final'!$A$52),"")</f>
        <v/>
      </c>
      <c r="AE18" s="444"/>
      <c r="AF18" s="444" t="str">
        <f>IF(AND('Mapa final'!$H$58="Alta",'Mapa final'!$L$58="Mayor"),CONCATENATE("R",'Mapa final'!$A$58),"")</f>
        <v/>
      </c>
      <c r="AG18" s="445"/>
      <c r="AH18" s="457" t="str">
        <f>IF(AND('Mapa final'!$H$46="Alta",'Mapa final'!$L$46="Catastrófico"),CONCATENATE("R",'Mapa final'!$A$46),"")</f>
        <v/>
      </c>
      <c r="AI18" s="458"/>
      <c r="AJ18" s="458" t="str">
        <f>IF(AND('Mapa final'!$H$52="Alta",'Mapa final'!$L$52="Catastrófico"),CONCATENATE("R",'Mapa final'!$A$52),"")</f>
        <v/>
      </c>
      <c r="AK18" s="458"/>
      <c r="AL18" s="458" t="str">
        <f>IF(AND('Mapa final'!$H$58="Alta",'Mapa final'!$L$58="Catastrófico"),CONCATENATE("R",'Mapa final'!$A$58),"")</f>
        <v/>
      </c>
      <c r="AM18" s="459"/>
      <c r="AN18" s="83"/>
      <c r="AO18" s="411"/>
      <c r="AP18" s="412"/>
      <c r="AQ18" s="412"/>
      <c r="AR18" s="412"/>
      <c r="AS18" s="412"/>
      <c r="AT18" s="41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97"/>
      <c r="C19" s="397"/>
      <c r="D19" s="398"/>
      <c r="E19" s="438"/>
      <c r="F19" s="439"/>
      <c r="G19" s="439"/>
      <c r="H19" s="439"/>
      <c r="I19" s="452"/>
      <c r="J19" s="466"/>
      <c r="K19" s="467"/>
      <c r="L19" s="467"/>
      <c r="M19" s="467"/>
      <c r="N19" s="467"/>
      <c r="O19" s="468"/>
      <c r="P19" s="466"/>
      <c r="Q19" s="467"/>
      <c r="R19" s="467"/>
      <c r="S19" s="467"/>
      <c r="T19" s="467"/>
      <c r="U19" s="468"/>
      <c r="V19" s="449"/>
      <c r="W19" s="446"/>
      <c r="X19" s="444"/>
      <c r="Y19" s="444"/>
      <c r="Z19" s="444"/>
      <c r="AA19" s="445"/>
      <c r="AB19" s="449"/>
      <c r="AC19" s="446"/>
      <c r="AD19" s="444"/>
      <c r="AE19" s="444"/>
      <c r="AF19" s="444"/>
      <c r="AG19" s="445"/>
      <c r="AH19" s="457"/>
      <c r="AI19" s="458"/>
      <c r="AJ19" s="458"/>
      <c r="AK19" s="458"/>
      <c r="AL19" s="458"/>
      <c r="AM19" s="459"/>
      <c r="AN19" s="83"/>
      <c r="AO19" s="411"/>
      <c r="AP19" s="412"/>
      <c r="AQ19" s="412"/>
      <c r="AR19" s="412"/>
      <c r="AS19" s="412"/>
      <c r="AT19" s="41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97"/>
      <c r="C20" s="397"/>
      <c r="D20" s="398"/>
      <c r="E20" s="438"/>
      <c r="F20" s="439"/>
      <c r="G20" s="439"/>
      <c r="H20" s="439"/>
      <c r="I20" s="452"/>
      <c r="J20" s="466" t="str">
        <f>IF(AND('Mapa final'!$H$64="Alta",'Mapa final'!$L$64="Leve"),CONCATENATE("R",'Mapa final'!$A$64),"")</f>
        <v/>
      </c>
      <c r="K20" s="467"/>
      <c r="L20" s="467" t="str">
        <f>IF(AND('Mapa final'!$H$70="Alta",'Mapa final'!$L$70="Leve"),CONCATENATE("R",'Mapa final'!$A$70),"")</f>
        <v/>
      </c>
      <c r="M20" s="467"/>
      <c r="N20" s="467" t="str">
        <f>IF(AND('Mapa final'!$H$76="Alta",'Mapa final'!$L$76="Leve"),CONCATENATE("R",'Mapa final'!$A$76),"")</f>
        <v/>
      </c>
      <c r="O20" s="468"/>
      <c r="P20" s="466" t="str">
        <f>IF(AND('Mapa final'!$H$64="Alta",'Mapa final'!$L$64="Menor"),CONCATENATE("R",'Mapa final'!$A$64),"")</f>
        <v/>
      </c>
      <c r="Q20" s="467"/>
      <c r="R20" s="467" t="str">
        <f>IF(AND('Mapa final'!$H$70="Alta",'Mapa final'!$L$70="Menor"),CONCATENATE("R",'Mapa final'!$A$70),"")</f>
        <v/>
      </c>
      <c r="S20" s="467"/>
      <c r="T20" s="467" t="str">
        <f>IF(AND('Mapa final'!$H$76="Alta",'Mapa final'!$L$76="Menor"),CONCATENATE("R",'Mapa final'!$A$76),"")</f>
        <v/>
      </c>
      <c r="U20" s="468"/>
      <c r="V20" s="449" t="str">
        <f>IF(AND('Mapa final'!$H$64="Alta",'Mapa final'!$L$64="Moderado"),CONCATENATE("R",'Mapa final'!$A$64),"")</f>
        <v/>
      </c>
      <c r="W20" s="446"/>
      <c r="X20" s="444" t="str">
        <f>IF(AND('Mapa final'!$H$70="Alta",'Mapa final'!$L$70="Moderado"),CONCATENATE("R",'Mapa final'!$A$70),"")</f>
        <v/>
      </c>
      <c r="Y20" s="444"/>
      <c r="Z20" s="444" t="str">
        <f>IF(AND('Mapa final'!$H$76="Alta",'Mapa final'!$L$76="Moderado"),CONCATENATE("R",'Mapa final'!$A$76),"")</f>
        <v/>
      </c>
      <c r="AA20" s="445"/>
      <c r="AB20" s="449" t="str">
        <f>IF(AND('Mapa final'!$H$64="Alta",'Mapa final'!$L$64="Mayor"),CONCATENATE("R",'Mapa final'!$A$64),"")</f>
        <v/>
      </c>
      <c r="AC20" s="446"/>
      <c r="AD20" s="444" t="str">
        <f>IF(AND('Mapa final'!$H$70="Alta",'Mapa final'!$L$70="Mayor"),CONCATENATE("R",'Mapa final'!$A$70),"")</f>
        <v/>
      </c>
      <c r="AE20" s="444"/>
      <c r="AF20" s="444" t="str">
        <f>IF(AND('Mapa final'!$H$76="Alta",'Mapa final'!$L$76="Mayor"),CONCATENATE("R",'Mapa final'!$A$76),"")</f>
        <v/>
      </c>
      <c r="AG20" s="445"/>
      <c r="AH20" s="457" t="str">
        <f>IF(AND('Mapa final'!$H$64="Alta",'Mapa final'!$L$64="Catastrófico"),CONCATENATE("R",'Mapa final'!$A$64),"")</f>
        <v/>
      </c>
      <c r="AI20" s="458"/>
      <c r="AJ20" s="458" t="str">
        <f>IF(AND('Mapa final'!$H$70="Alta",'Mapa final'!$L$70="Catastrófico"),CONCATENATE("R",'Mapa final'!$A$70),"")</f>
        <v/>
      </c>
      <c r="AK20" s="458"/>
      <c r="AL20" s="458" t="str">
        <f>IF(AND('Mapa final'!$H$76="Alta",'Mapa final'!$L$76="Catastrófico"),CONCATENATE("R",'Mapa final'!$A$76),"")</f>
        <v/>
      </c>
      <c r="AM20" s="459"/>
      <c r="AN20" s="83"/>
      <c r="AO20" s="411"/>
      <c r="AP20" s="412"/>
      <c r="AQ20" s="412"/>
      <c r="AR20" s="412"/>
      <c r="AS20" s="412"/>
      <c r="AT20" s="41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97"/>
      <c r="C21" s="397"/>
      <c r="D21" s="398"/>
      <c r="E21" s="441"/>
      <c r="F21" s="442"/>
      <c r="G21" s="442"/>
      <c r="H21" s="442"/>
      <c r="I21" s="442"/>
      <c r="J21" s="469"/>
      <c r="K21" s="470"/>
      <c r="L21" s="470"/>
      <c r="M21" s="470"/>
      <c r="N21" s="470"/>
      <c r="O21" s="471"/>
      <c r="P21" s="469"/>
      <c r="Q21" s="470"/>
      <c r="R21" s="470"/>
      <c r="S21" s="470"/>
      <c r="T21" s="470"/>
      <c r="U21" s="471"/>
      <c r="V21" s="454"/>
      <c r="W21" s="455"/>
      <c r="X21" s="455"/>
      <c r="Y21" s="455"/>
      <c r="Z21" s="455"/>
      <c r="AA21" s="456"/>
      <c r="AB21" s="454"/>
      <c r="AC21" s="455"/>
      <c r="AD21" s="455"/>
      <c r="AE21" s="455"/>
      <c r="AF21" s="455"/>
      <c r="AG21" s="456"/>
      <c r="AH21" s="460"/>
      <c r="AI21" s="461"/>
      <c r="AJ21" s="461"/>
      <c r="AK21" s="461"/>
      <c r="AL21" s="461"/>
      <c r="AM21" s="462"/>
      <c r="AN21" s="83"/>
      <c r="AO21" s="414"/>
      <c r="AP21" s="415"/>
      <c r="AQ21" s="415"/>
      <c r="AR21" s="415"/>
      <c r="AS21" s="415"/>
      <c r="AT21" s="41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97"/>
      <c r="C22" s="397"/>
      <c r="D22" s="398"/>
      <c r="E22" s="435" t="s">
        <v>117</v>
      </c>
      <c r="F22" s="436"/>
      <c r="G22" s="436"/>
      <c r="H22" s="436"/>
      <c r="I22" s="437"/>
      <c r="J22" s="472" t="str">
        <f>IF(AND('Mapa final'!$H$10="Media",'Mapa final'!$L$10="Leve"),CONCATENATE("R",'Mapa final'!$A$10),"")</f>
        <v/>
      </c>
      <c r="K22" s="473"/>
      <c r="L22" s="473" t="str">
        <f>IF(AND('Mapa final'!$H$16="Media",'Mapa final'!$L$16="Leve"),CONCATENATE("R",'Mapa final'!$A$16),"")</f>
        <v/>
      </c>
      <c r="M22" s="473"/>
      <c r="N22" s="473" t="str">
        <f>IF(AND('Mapa final'!$H$22="Media",'Mapa final'!$L$22="Leve"),CONCATENATE("R",'Mapa final'!$A$22),"")</f>
        <v/>
      </c>
      <c r="O22" s="474"/>
      <c r="P22" s="472" t="str">
        <f>IF(AND('Mapa final'!$H$10="Media",'Mapa final'!$L$10="Menor"),CONCATENATE("R",'Mapa final'!$A$10),"")</f>
        <v/>
      </c>
      <c r="Q22" s="473"/>
      <c r="R22" s="473" t="str">
        <f>IF(AND('Mapa final'!$H$16="Media",'Mapa final'!$L$16="Menor"),CONCATENATE("R",'Mapa final'!$A$16),"")</f>
        <v/>
      </c>
      <c r="S22" s="473"/>
      <c r="T22" s="473" t="str">
        <f>IF(AND('Mapa final'!$H$22="Media",'Mapa final'!$L$22="Menor"),CONCATENATE("R",'Mapa final'!$A$22),"")</f>
        <v/>
      </c>
      <c r="U22" s="474"/>
      <c r="V22" s="472" t="str">
        <f>IF(AND('Mapa final'!$H$10="Media",'Mapa final'!$L$10="Moderado"),CONCATENATE("R",'Mapa final'!$A$10),"")</f>
        <v/>
      </c>
      <c r="W22" s="473"/>
      <c r="X22" s="473" t="str">
        <f>IF(AND('Mapa final'!$H$16="Media",'Mapa final'!$L$16="Moderado"),CONCATENATE("R",'Mapa final'!$A$16),"")</f>
        <v>R39</v>
      </c>
      <c r="Y22" s="473"/>
      <c r="Z22" s="473" t="str">
        <f>IF(AND('Mapa final'!$H$22="Media",'Mapa final'!$L$22="Moderado"),CONCATENATE("R",'Mapa final'!$A$22),"")</f>
        <v>R40</v>
      </c>
      <c r="AA22" s="474"/>
      <c r="AB22" s="447" t="str">
        <f>IF(AND('Mapa final'!$H$10="Media",'Mapa final'!$L$10="Mayor"),CONCATENATE("R",'Mapa final'!$A$10),"")</f>
        <v/>
      </c>
      <c r="AC22" s="448"/>
      <c r="AD22" s="448" t="str">
        <f>IF(AND('Mapa final'!$H$16="Media",'Mapa final'!$L$16="Mayor"),CONCATENATE("R",'Mapa final'!$A$16),"")</f>
        <v/>
      </c>
      <c r="AE22" s="448"/>
      <c r="AF22" s="448" t="str">
        <f>IF(AND('Mapa final'!$H$22="Media",'Mapa final'!$L$22="Mayor"),CONCATENATE("R",'Mapa final'!$A$22),"")</f>
        <v/>
      </c>
      <c r="AG22" s="450"/>
      <c r="AH22" s="463" t="str">
        <f>IF(AND('Mapa final'!$H$10="Media",'Mapa final'!$L$10="Catastrófico"),CONCATENATE("R",'Mapa final'!$A$10),"")</f>
        <v/>
      </c>
      <c r="AI22" s="464"/>
      <c r="AJ22" s="464" t="str">
        <f>IF(AND('Mapa final'!$H$16="Media",'Mapa final'!$L$16="Catastrófico"),CONCATENATE("R",'Mapa final'!$A$16),"")</f>
        <v/>
      </c>
      <c r="AK22" s="464"/>
      <c r="AL22" s="464" t="str">
        <f>IF(AND('Mapa final'!$H$22="Media",'Mapa final'!$L$22="Catastrófico"),CONCATENATE("R",'Mapa final'!$A$22),"")</f>
        <v/>
      </c>
      <c r="AM22" s="465"/>
      <c r="AN22" s="83"/>
      <c r="AO22" s="417" t="s">
        <v>81</v>
      </c>
      <c r="AP22" s="418"/>
      <c r="AQ22" s="418"/>
      <c r="AR22" s="418"/>
      <c r="AS22" s="418"/>
      <c r="AT22" s="41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97"/>
      <c r="C23" s="397"/>
      <c r="D23" s="398"/>
      <c r="E23" s="438"/>
      <c r="F23" s="439"/>
      <c r="G23" s="439"/>
      <c r="H23" s="439"/>
      <c r="I23" s="440"/>
      <c r="J23" s="466"/>
      <c r="K23" s="467"/>
      <c r="L23" s="467"/>
      <c r="M23" s="467"/>
      <c r="N23" s="467"/>
      <c r="O23" s="468"/>
      <c r="P23" s="466"/>
      <c r="Q23" s="467"/>
      <c r="R23" s="467"/>
      <c r="S23" s="467"/>
      <c r="T23" s="467"/>
      <c r="U23" s="468"/>
      <c r="V23" s="466"/>
      <c r="W23" s="467"/>
      <c r="X23" s="467"/>
      <c r="Y23" s="467"/>
      <c r="Z23" s="467"/>
      <c r="AA23" s="468"/>
      <c r="AB23" s="449"/>
      <c r="AC23" s="446"/>
      <c r="AD23" s="446"/>
      <c r="AE23" s="446"/>
      <c r="AF23" s="446"/>
      <c r="AG23" s="445"/>
      <c r="AH23" s="457"/>
      <c r="AI23" s="458"/>
      <c r="AJ23" s="458"/>
      <c r="AK23" s="458"/>
      <c r="AL23" s="458"/>
      <c r="AM23" s="459"/>
      <c r="AN23" s="83"/>
      <c r="AO23" s="420"/>
      <c r="AP23" s="421"/>
      <c r="AQ23" s="421"/>
      <c r="AR23" s="421"/>
      <c r="AS23" s="421"/>
      <c r="AT23" s="42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97"/>
      <c r="C24" s="397"/>
      <c r="D24" s="398"/>
      <c r="E24" s="438"/>
      <c r="F24" s="439"/>
      <c r="G24" s="439"/>
      <c r="H24" s="439"/>
      <c r="I24" s="440"/>
      <c r="J24" s="466" t="str">
        <f>IF(AND('Mapa final'!$H$28="Media",'Mapa final'!$L$28="Leve"),CONCATENATE("R",'Mapa final'!$A$28),"")</f>
        <v/>
      </c>
      <c r="K24" s="467"/>
      <c r="L24" s="467" t="str">
        <f>IF(AND('Mapa final'!$H$34="Media",'Mapa final'!$L$34="Leve"),CONCATENATE("R",'Mapa final'!$A$34),"")</f>
        <v/>
      </c>
      <c r="M24" s="467"/>
      <c r="N24" s="467" t="str">
        <f>IF(AND('Mapa final'!$H$40="Media",'Mapa final'!$L$40="Leve"),CONCATENATE("R",'Mapa final'!$A$40),"")</f>
        <v/>
      </c>
      <c r="O24" s="468"/>
      <c r="P24" s="466" t="str">
        <f>IF(AND('Mapa final'!$H$28="Media",'Mapa final'!$L$28="Menor"),CONCATENATE("R",'Mapa final'!$A$28),"")</f>
        <v/>
      </c>
      <c r="Q24" s="467"/>
      <c r="R24" s="467" t="str">
        <f>IF(AND('Mapa final'!$H$34="Media",'Mapa final'!$L$34="Menor"),CONCATENATE("R",'Mapa final'!$A$34),"")</f>
        <v/>
      </c>
      <c r="S24" s="467"/>
      <c r="T24" s="467" t="str">
        <f>IF(AND('Mapa final'!$H$40="Media",'Mapa final'!$L$40="Menor"),CONCATENATE("R",'Mapa final'!$A$40),"")</f>
        <v/>
      </c>
      <c r="U24" s="468"/>
      <c r="V24" s="466" t="str">
        <f>IF(AND('Mapa final'!$H$28="Media",'Mapa final'!$L$28="Moderado"),CONCATENATE("R",'Mapa final'!$A$28),"")</f>
        <v>R41</v>
      </c>
      <c r="W24" s="467"/>
      <c r="X24" s="467" t="str">
        <f>IF(AND('Mapa final'!$H$34="Media",'Mapa final'!$L$34="Moderado"),CONCATENATE("R",'Mapa final'!$A$34),"")</f>
        <v/>
      </c>
      <c r="Y24" s="467"/>
      <c r="Z24" s="467" t="str">
        <f>IF(AND('Mapa final'!$H$40="Media",'Mapa final'!$L$40="Moderado"),CONCATENATE("R",'Mapa final'!$A$40),"")</f>
        <v/>
      </c>
      <c r="AA24" s="468"/>
      <c r="AB24" s="449" t="str">
        <f>IF(AND('Mapa final'!$H$28="Media",'Mapa final'!$L$28="Mayor"),CONCATENATE("R",'Mapa final'!$A$28),"")</f>
        <v/>
      </c>
      <c r="AC24" s="446"/>
      <c r="AD24" s="444" t="str">
        <f>IF(AND('Mapa final'!$H$34="Media",'Mapa final'!$L$34="Mayor"),CONCATENATE("R",'Mapa final'!$A$34),"")</f>
        <v/>
      </c>
      <c r="AE24" s="444"/>
      <c r="AF24" s="444" t="str">
        <f>IF(AND('Mapa final'!$H$40="Media",'Mapa final'!$L$40="Mayor"),CONCATENATE("R",'Mapa final'!$A$40),"")</f>
        <v/>
      </c>
      <c r="AG24" s="445"/>
      <c r="AH24" s="457" t="str">
        <f>IF(AND('Mapa final'!$H$28="Media",'Mapa final'!$L$28="Catastrófico"),CONCATENATE("R",'Mapa final'!$A$28),"")</f>
        <v/>
      </c>
      <c r="AI24" s="458"/>
      <c r="AJ24" s="458" t="str">
        <f>IF(AND('Mapa final'!$H$34="Media",'Mapa final'!$L$34="Catastrófico"),CONCATENATE("R",'Mapa final'!$A$34),"")</f>
        <v/>
      </c>
      <c r="AK24" s="458"/>
      <c r="AL24" s="458" t="str">
        <f>IF(AND('Mapa final'!$H$40="Media",'Mapa final'!$L$40="Catastrófico"),CONCATENATE("R",'Mapa final'!$A$40),"")</f>
        <v/>
      </c>
      <c r="AM24" s="459"/>
      <c r="AN24" s="83"/>
      <c r="AO24" s="420"/>
      <c r="AP24" s="421"/>
      <c r="AQ24" s="421"/>
      <c r="AR24" s="421"/>
      <c r="AS24" s="421"/>
      <c r="AT24" s="42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97"/>
      <c r="C25" s="397"/>
      <c r="D25" s="398"/>
      <c r="E25" s="438"/>
      <c r="F25" s="439"/>
      <c r="G25" s="439"/>
      <c r="H25" s="439"/>
      <c r="I25" s="440"/>
      <c r="J25" s="466"/>
      <c r="K25" s="467"/>
      <c r="L25" s="467"/>
      <c r="M25" s="467"/>
      <c r="N25" s="467"/>
      <c r="O25" s="468"/>
      <c r="P25" s="466"/>
      <c r="Q25" s="467"/>
      <c r="R25" s="467"/>
      <c r="S25" s="467"/>
      <c r="T25" s="467"/>
      <c r="U25" s="468"/>
      <c r="V25" s="466"/>
      <c r="W25" s="467"/>
      <c r="X25" s="467"/>
      <c r="Y25" s="467"/>
      <c r="Z25" s="467"/>
      <c r="AA25" s="468"/>
      <c r="AB25" s="449"/>
      <c r="AC25" s="446"/>
      <c r="AD25" s="444"/>
      <c r="AE25" s="444"/>
      <c r="AF25" s="444"/>
      <c r="AG25" s="445"/>
      <c r="AH25" s="457"/>
      <c r="AI25" s="458"/>
      <c r="AJ25" s="458"/>
      <c r="AK25" s="458"/>
      <c r="AL25" s="458"/>
      <c r="AM25" s="459"/>
      <c r="AN25" s="83"/>
      <c r="AO25" s="420"/>
      <c r="AP25" s="421"/>
      <c r="AQ25" s="421"/>
      <c r="AR25" s="421"/>
      <c r="AS25" s="421"/>
      <c r="AT25" s="42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97"/>
      <c r="C26" s="397"/>
      <c r="D26" s="398"/>
      <c r="E26" s="438"/>
      <c r="F26" s="439"/>
      <c r="G26" s="439"/>
      <c r="H26" s="439"/>
      <c r="I26" s="440"/>
      <c r="J26" s="466" t="str">
        <f>IF(AND('Mapa final'!$H$46="Media",'Mapa final'!$L$46="Leve"),CONCATENATE("R",'Mapa final'!$A$46),"")</f>
        <v/>
      </c>
      <c r="K26" s="467"/>
      <c r="L26" s="467" t="str">
        <f>IF(AND('Mapa final'!$H$52="Media",'Mapa final'!$L$52="Leve"),CONCATENATE("R",'Mapa final'!$A$52),"")</f>
        <v/>
      </c>
      <c r="M26" s="467"/>
      <c r="N26" s="467" t="str">
        <f>IF(AND('Mapa final'!$H$58="Media",'Mapa final'!$L$58="Leve"),CONCATENATE("R",'Mapa final'!$A$58),"")</f>
        <v/>
      </c>
      <c r="O26" s="468"/>
      <c r="P26" s="466" t="str">
        <f>IF(AND('Mapa final'!$H$46="Media",'Mapa final'!$L$46="Menor"),CONCATENATE("R",'Mapa final'!$A$46),"")</f>
        <v/>
      </c>
      <c r="Q26" s="467"/>
      <c r="R26" s="467" t="str">
        <f>IF(AND('Mapa final'!$H$52="Media",'Mapa final'!$L$52="Menor"),CONCATENATE("R",'Mapa final'!$A$52),"")</f>
        <v/>
      </c>
      <c r="S26" s="467"/>
      <c r="T26" s="467" t="str">
        <f>IF(AND('Mapa final'!$H$58="Media",'Mapa final'!$L$58="Menor"),CONCATENATE("R",'Mapa final'!$A$58),"")</f>
        <v/>
      </c>
      <c r="U26" s="468"/>
      <c r="V26" s="466" t="str">
        <f>IF(AND('Mapa final'!$H$46="Media",'Mapa final'!$L$46="Moderado"),CONCATENATE("R",'Mapa final'!$A$46),"")</f>
        <v/>
      </c>
      <c r="W26" s="467"/>
      <c r="X26" s="467" t="str">
        <f>IF(AND('Mapa final'!$H$52="Media",'Mapa final'!$L$52="Moderado"),CONCATENATE("R",'Mapa final'!$A$52),"")</f>
        <v/>
      </c>
      <c r="Y26" s="467"/>
      <c r="Z26" s="467" t="str">
        <f>IF(AND('Mapa final'!$H$58="Media",'Mapa final'!$L$58="Moderado"),CONCATENATE("R",'Mapa final'!$A$58),"")</f>
        <v/>
      </c>
      <c r="AA26" s="468"/>
      <c r="AB26" s="449" t="str">
        <f>IF(AND('Mapa final'!$H$46="Media",'Mapa final'!$L$46="Mayor"),CONCATENATE("R",'Mapa final'!$A$46),"")</f>
        <v/>
      </c>
      <c r="AC26" s="446"/>
      <c r="AD26" s="444" t="str">
        <f>IF(AND('Mapa final'!$H$52="Media",'Mapa final'!$L$52="Mayor"),CONCATENATE("R",'Mapa final'!$A$52),"")</f>
        <v/>
      </c>
      <c r="AE26" s="444"/>
      <c r="AF26" s="444" t="str">
        <f>IF(AND('Mapa final'!$H$58="Media",'Mapa final'!$L$58="Mayor"),CONCATENATE("R",'Mapa final'!$A$58),"")</f>
        <v/>
      </c>
      <c r="AG26" s="445"/>
      <c r="AH26" s="457" t="str">
        <f>IF(AND('Mapa final'!$H$46="Media",'Mapa final'!$L$46="Catastrófico"),CONCATENATE("R",'Mapa final'!$A$46),"")</f>
        <v/>
      </c>
      <c r="AI26" s="458"/>
      <c r="AJ26" s="458" t="str">
        <f>IF(AND('Mapa final'!$H$52="Media",'Mapa final'!$L$52="Catastrófico"),CONCATENATE("R",'Mapa final'!$A$52),"")</f>
        <v/>
      </c>
      <c r="AK26" s="458"/>
      <c r="AL26" s="458" t="str">
        <f>IF(AND('Mapa final'!$H$58="Media",'Mapa final'!$L$58="Catastrófico"),CONCATENATE("R",'Mapa final'!$A$58),"")</f>
        <v/>
      </c>
      <c r="AM26" s="459"/>
      <c r="AN26" s="83"/>
      <c r="AO26" s="420"/>
      <c r="AP26" s="421"/>
      <c r="AQ26" s="421"/>
      <c r="AR26" s="421"/>
      <c r="AS26" s="421"/>
      <c r="AT26" s="42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97"/>
      <c r="C27" s="397"/>
      <c r="D27" s="398"/>
      <c r="E27" s="438"/>
      <c r="F27" s="439"/>
      <c r="G27" s="439"/>
      <c r="H27" s="439"/>
      <c r="I27" s="440"/>
      <c r="J27" s="466"/>
      <c r="K27" s="467"/>
      <c r="L27" s="467"/>
      <c r="M27" s="467"/>
      <c r="N27" s="467"/>
      <c r="O27" s="468"/>
      <c r="P27" s="466"/>
      <c r="Q27" s="467"/>
      <c r="R27" s="467"/>
      <c r="S27" s="467"/>
      <c r="T27" s="467"/>
      <c r="U27" s="468"/>
      <c r="V27" s="466"/>
      <c r="W27" s="467"/>
      <c r="X27" s="467"/>
      <c r="Y27" s="467"/>
      <c r="Z27" s="467"/>
      <c r="AA27" s="468"/>
      <c r="AB27" s="449"/>
      <c r="AC27" s="446"/>
      <c r="AD27" s="444"/>
      <c r="AE27" s="444"/>
      <c r="AF27" s="444"/>
      <c r="AG27" s="445"/>
      <c r="AH27" s="457"/>
      <c r="AI27" s="458"/>
      <c r="AJ27" s="458"/>
      <c r="AK27" s="458"/>
      <c r="AL27" s="458"/>
      <c r="AM27" s="459"/>
      <c r="AN27" s="83"/>
      <c r="AO27" s="420"/>
      <c r="AP27" s="421"/>
      <c r="AQ27" s="421"/>
      <c r="AR27" s="421"/>
      <c r="AS27" s="421"/>
      <c r="AT27" s="42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97"/>
      <c r="C28" s="397"/>
      <c r="D28" s="398"/>
      <c r="E28" s="438"/>
      <c r="F28" s="439"/>
      <c r="G28" s="439"/>
      <c r="H28" s="439"/>
      <c r="I28" s="440"/>
      <c r="J28" s="466" t="str">
        <f>IF(AND('Mapa final'!$H$64="Media",'Mapa final'!$L$64="Leve"),CONCATENATE("R",'Mapa final'!$A$64),"")</f>
        <v/>
      </c>
      <c r="K28" s="467"/>
      <c r="L28" s="467" t="str">
        <f>IF(AND('Mapa final'!$H$70="Media",'Mapa final'!$L$70="Leve"),CONCATENATE("R",'Mapa final'!$A$70),"")</f>
        <v/>
      </c>
      <c r="M28" s="467"/>
      <c r="N28" s="467" t="str">
        <f>IF(AND('Mapa final'!$H$76="Media",'Mapa final'!$L$76="Leve"),CONCATENATE("R",'Mapa final'!$A$76),"")</f>
        <v/>
      </c>
      <c r="O28" s="468"/>
      <c r="P28" s="466" t="str">
        <f>IF(AND('Mapa final'!$H$64="Media",'Mapa final'!$L$64="Menor"),CONCATENATE("R",'Mapa final'!$A$64),"")</f>
        <v/>
      </c>
      <c r="Q28" s="467"/>
      <c r="R28" s="467" t="str">
        <f>IF(AND('Mapa final'!$H$70="Media",'Mapa final'!$L$70="Menor"),CONCATENATE("R",'Mapa final'!$A$70),"")</f>
        <v/>
      </c>
      <c r="S28" s="467"/>
      <c r="T28" s="467" t="str">
        <f>IF(AND('Mapa final'!$H$76="Media",'Mapa final'!$L$76="Menor"),CONCATENATE("R",'Mapa final'!$A$76),"")</f>
        <v/>
      </c>
      <c r="U28" s="468"/>
      <c r="V28" s="466" t="str">
        <f>IF(AND('Mapa final'!$H$64="Media",'Mapa final'!$L$64="Moderado"),CONCATENATE("R",'Mapa final'!$A$64),"")</f>
        <v/>
      </c>
      <c r="W28" s="467"/>
      <c r="X28" s="467" t="str">
        <f>IF(AND('Mapa final'!$H$70="Media",'Mapa final'!$L$70="Moderado"),CONCATENATE("R",'Mapa final'!$A$70),"")</f>
        <v/>
      </c>
      <c r="Y28" s="467"/>
      <c r="Z28" s="467" t="str">
        <f>IF(AND('Mapa final'!$H$76="Media",'Mapa final'!$L$76="Moderado"),CONCATENATE("R",'Mapa final'!$A$76),"")</f>
        <v/>
      </c>
      <c r="AA28" s="468"/>
      <c r="AB28" s="449" t="str">
        <f>IF(AND('Mapa final'!$H$64="Media",'Mapa final'!$L$64="Mayor"),CONCATENATE("R",'Mapa final'!$A$64),"")</f>
        <v/>
      </c>
      <c r="AC28" s="446"/>
      <c r="AD28" s="444" t="str">
        <f>IF(AND('Mapa final'!$H$70="Media",'Mapa final'!$L$70="Mayor"),CONCATENATE("R",'Mapa final'!$A$70),"")</f>
        <v/>
      </c>
      <c r="AE28" s="444"/>
      <c r="AF28" s="444" t="str">
        <f>IF(AND('Mapa final'!$H$76="Media",'Mapa final'!$L$76="Mayor"),CONCATENATE("R",'Mapa final'!$A$76),"")</f>
        <v/>
      </c>
      <c r="AG28" s="445"/>
      <c r="AH28" s="457" t="str">
        <f>IF(AND('Mapa final'!$H$64="Media",'Mapa final'!$L$64="Catastrófico"),CONCATENATE("R",'Mapa final'!$A$64),"")</f>
        <v/>
      </c>
      <c r="AI28" s="458"/>
      <c r="AJ28" s="458" t="str">
        <f>IF(AND('Mapa final'!$H$70="Media",'Mapa final'!$L$70="Catastrófico"),CONCATENATE("R",'Mapa final'!$A$70),"")</f>
        <v/>
      </c>
      <c r="AK28" s="458"/>
      <c r="AL28" s="458" t="str">
        <f>IF(AND('Mapa final'!$H$76="Media",'Mapa final'!$L$76="Catastrófico"),CONCATENATE("R",'Mapa final'!$A$76),"")</f>
        <v/>
      </c>
      <c r="AM28" s="459"/>
      <c r="AN28" s="83"/>
      <c r="AO28" s="420"/>
      <c r="AP28" s="421"/>
      <c r="AQ28" s="421"/>
      <c r="AR28" s="421"/>
      <c r="AS28" s="421"/>
      <c r="AT28" s="42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97"/>
      <c r="C29" s="397"/>
      <c r="D29" s="398"/>
      <c r="E29" s="441"/>
      <c r="F29" s="442"/>
      <c r="G29" s="442"/>
      <c r="H29" s="442"/>
      <c r="I29" s="443"/>
      <c r="J29" s="466"/>
      <c r="K29" s="467"/>
      <c r="L29" s="467"/>
      <c r="M29" s="467"/>
      <c r="N29" s="467"/>
      <c r="O29" s="468"/>
      <c r="P29" s="469"/>
      <c r="Q29" s="470"/>
      <c r="R29" s="470"/>
      <c r="S29" s="470"/>
      <c r="T29" s="470"/>
      <c r="U29" s="471"/>
      <c r="V29" s="469"/>
      <c r="W29" s="470"/>
      <c r="X29" s="470"/>
      <c r="Y29" s="470"/>
      <c r="Z29" s="470"/>
      <c r="AA29" s="471"/>
      <c r="AB29" s="454"/>
      <c r="AC29" s="455"/>
      <c r="AD29" s="455"/>
      <c r="AE29" s="455"/>
      <c r="AF29" s="455"/>
      <c r="AG29" s="456"/>
      <c r="AH29" s="460"/>
      <c r="AI29" s="461"/>
      <c r="AJ29" s="461"/>
      <c r="AK29" s="461"/>
      <c r="AL29" s="461"/>
      <c r="AM29" s="462"/>
      <c r="AN29" s="83"/>
      <c r="AO29" s="423"/>
      <c r="AP29" s="424"/>
      <c r="AQ29" s="424"/>
      <c r="AR29" s="424"/>
      <c r="AS29" s="424"/>
      <c r="AT29" s="42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97"/>
      <c r="C30" s="397"/>
      <c r="D30" s="398"/>
      <c r="E30" s="435" t="s">
        <v>114</v>
      </c>
      <c r="F30" s="436"/>
      <c r="G30" s="436"/>
      <c r="H30" s="436"/>
      <c r="I30" s="436"/>
      <c r="J30" s="481" t="str">
        <f>IF(AND('Mapa final'!$H$10="Baja",'Mapa final'!$L$10="Leve"),CONCATENATE("R",'Mapa final'!$A$10),"")</f>
        <v/>
      </c>
      <c r="K30" s="482"/>
      <c r="L30" s="482" t="str">
        <f>IF(AND('Mapa final'!$H$16="Baja",'Mapa final'!$L$16="Leve"),CONCATENATE("R",'Mapa final'!$A$16),"")</f>
        <v/>
      </c>
      <c r="M30" s="482"/>
      <c r="N30" s="482" t="str">
        <f>IF(AND('Mapa final'!$H$22="Baja",'Mapa final'!$L$22="Leve"),CONCATENATE("R",'Mapa final'!$A$22),"")</f>
        <v/>
      </c>
      <c r="O30" s="483"/>
      <c r="P30" s="473" t="str">
        <f>IF(AND('Mapa final'!$H$10="Baja",'Mapa final'!$L$10="Menor"),CONCATENATE("R",'Mapa final'!$A$10),"")</f>
        <v/>
      </c>
      <c r="Q30" s="473"/>
      <c r="R30" s="473" t="str">
        <f>IF(AND('Mapa final'!$H$16="Baja",'Mapa final'!$L$16="Menor"),CONCATENATE("R",'Mapa final'!$A$16),"")</f>
        <v/>
      </c>
      <c r="S30" s="473"/>
      <c r="T30" s="473" t="str">
        <f>IF(AND('Mapa final'!$H$22="Baja",'Mapa final'!$L$22="Menor"),CONCATENATE("R",'Mapa final'!$A$22),"")</f>
        <v/>
      </c>
      <c r="U30" s="474"/>
      <c r="V30" s="472" t="str">
        <f>IF(AND('Mapa final'!$H$10="Baja",'Mapa final'!$L$10="Moderado"),CONCATENATE("R",'Mapa final'!$A$10),"")</f>
        <v/>
      </c>
      <c r="W30" s="473"/>
      <c r="X30" s="473" t="str">
        <f>IF(AND('Mapa final'!$H$16="Baja",'Mapa final'!$L$16="Moderado"),CONCATENATE("R",'Mapa final'!$A$16),"")</f>
        <v/>
      </c>
      <c r="Y30" s="473"/>
      <c r="Z30" s="473" t="str">
        <f>IF(AND('Mapa final'!$H$22="Baja",'Mapa final'!$L$22="Moderado"),CONCATENATE("R",'Mapa final'!$A$22),"")</f>
        <v/>
      </c>
      <c r="AA30" s="474"/>
      <c r="AB30" s="447" t="str">
        <f>IF(AND('Mapa final'!$H$10="Baja",'Mapa final'!$L$10="Mayor"),CONCATENATE("R",'Mapa final'!$A$10),"")</f>
        <v/>
      </c>
      <c r="AC30" s="448"/>
      <c r="AD30" s="448" t="str">
        <f>IF(AND('Mapa final'!$H$16="Baja",'Mapa final'!$L$16="Mayor"),CONCATENATE("R",'Mapa final'!$A$16),"")</f>
        <v/>
      </c>
      <c r="AE30" s="448"/>
      <c r="AF30" s="448" t="str">
        <f>IF(AND('Mapa final'!$H$22="Baja",'Mapa final'!$L$22="Mayor"),CONCATENATE("R",'Mapa final'!$A$22),"")</f>
        <v/>
      </c>
      <c r="AG30" s="450"/>
      <c r="AH30" s="463" t="str">
        <f>IF(AND('Mapa final'!$H$10="Baja",'Mapa final'!$L$10="Catastrófico"),CONCATENATE("R",'Mapa final'!$A$10),"")</f>
        <v/>
      </c>
      <c r="AI30" s="464"/>
      <c r="AJ30" s="464" t="str">
        <f>IF(AND('Mapa final'!$H$16="Baja",'Mapa final'!$L$16="Catastrófico"),CONCATENATE("R",'Mapa final'!$A$16),"")</f>
        <v/>
      </c>
      <c r="AK30" s="464"/>
      <c r="AL30" s="464" t="str">
        <f>IF(AND('Mapa final'!$H$22="Baja",'Mapa final'!$L$22="Catastrófico"),CONCATENATE("R",'Mapa final'!$A$22),"")</f>
        <v/>
      </c>
      <c r="AM30" s="465"/>
      <c r="AN30" s="83"/>
      <c r="AO30" s="426" t="s">
        <v>82</v>
      </c>
      <c r="AP30" s="427"/>
      <c r="AQ30" s="427"/>
      <c r="AR30" s="427"/>
      <c r="AS30" s="427"/>
      <c r="AT30" s="42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97"/>
      <c r="C31" s="397"/>
      <c r="D31" s="398"/>
      <c r="E31" s="438"/>
      <c r="F31" s="439"/>
      <c r="G31" s="439"/>
      <c r="H31" s="439"/>
      <c r="I31" s="452"/>
      <c r="J31" s="477"/>
      <c r="K31" s="475"/>
      <c r="L31" s="475"/>
      <c r="M31" s="475"/>
      <c r="N31" s="475"/>
      <c r="O31" s="476"/>
      <c r="P31" s="467"/>
      <c r="Q31" s="467"/>
      <c r="R31" s="467"/>
      <c r="S31" s="467"/>
      <c r="T31" s="467"/>
      <c r="U31" s="468"/>
      <c r="V31" s="466"/>
      <c r="W31" s="467"/>
      <c r="X31" s="467"/>
      <c r="Y31" s="467"/>
      <c r="Z31" s="467"/>
      <c r="AA31" s="468"/>
      <c r="AB31" s="449"/>
      <c r="AC31" s="446"/>
      <c r="AD31" s="446"/>
      <c r="AE31" s="446"/>
      <c r="AF31" s="446"/>
      <c r="AG31" s="445"/>
      <c r="AH31" s="457"/>
      <c r="AI31" s="458"/>
      <c r="AJ31" s="458"/>
      <c r="AK31" s="458"/>
      <c r="AL31" s="458"/>
      <c r="AM31" s="459"/>
      <c r="AN31" s="83"/>
      <c r="AO31" s="429"/>
      <c r="AP31" s="430"/>
      <c r="AQ31" s="430"/>
      <c r="AR31" s="430"/>
      <c r="AS31" s="430"/>
      <c r="AT31" s="43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97"/>
      <c r="C32" s="397"/>
      <c r="D32" s="398"/>
      <c r="E32" s="438"/>
      <c r="F32" s="439"/>
      <c r="G32" s="439"/>
      <c r="H32" s="439"/>
      <c r="I32" s="452"/>
      <c r="J32" s="477" t="str">
        <f>IF(AND('Mapa final'!$H$28="Baja",'Mapa final'!$L$28="Leve"),CONCATENATE("R",'Mapa final'!$A$28),"")</f>
        <v/>
      </c>
      <c r="K32" s="475"/>
      <c r="L32" s="475" t="str">
        <f>IF(AND('Mapa final'!$H$34="Baja",'Mapa final'!$L$34="Leve"),CONCATENATE("R",'Mapa final'!$A$34),"")</f>
        <v/>
      </c>
      <c r="M32" s="475"/>
      <c r="N32" s="475" t="str">
        <f>IF(AND('Mapa final'!$H$40="Baja",'Mapa final'!$L$40="Leve"),CONCATENATE("R",'Mapa final'!$A$40),"")</f>
        <v/>
      </c>
      <c r="O32" s="476"/>
      <c r="P32" s="467" t="str">
        <f>IF(AND('Mapa final'!$H$28="Baja",'Mapa final'!$L$28="Menor"),CONCATENATE("R",'Mapa final'!$A$28),"")</f>
        <v/>
      </c>
      <c r="Q32" s="467"/>
      <c r="R32" s="467" t="str">
        <f>IF(AND('Mapa final'!$H$34="Baja",'Mapa final'!$L$34="Menor"),CONCATENATE("R",'Mapa final'!$A$34),"")</f>
        <v/>
      </c>
      <c r="S32" s="467"/>
      <c r="T32" s="467" t="str">
        <f>IF(AND('Mapa final'!$H$40="Baja",'Mapa final'!$L$40="Menor"),CONCATENATE("R",'Mapa final'!$A$40),"")</f>
        <v>R43</v>
      </c>
      <c r="U32" s="468"/>
      <c r="V32" s="466" t="str">
        <f>IF(AND('Mapa final'!$H$28="Baja",'Mapa final'!$L$28="Moderado"),CONCATENATE("R",'Mapa final'!$A$28),"")</f>
        <v/>
      </c>
      <c r="W32" s="467"/>
      <c r="X32" s="467" t="str">
        <f>IF(AND('Mapa final'!$H$34="Baja",'Mapa final'!$L$34="Moderado"),CONCATENATE("R",'Mapa final'!$A$34),"")</f>
        <v/>
      </c>
      <c r="Y32" s="467"/>
      <c r="Z32" s="467" t="str">
        <f>IF(AND('Mapa final'!$H$40="Baja",'Mapa final'!$L$40="Moderado"),CONCATENATE("R",'Mapa final'!$A$40),"")</f>
        <v/>
      </c>
      <c r="AA32" s="468"/>
      <c r="AB32" s="449" t="str">
        <f>IF(AND('Mapa final'!$H$28="Baja",'Mapa final'!$L$28="Mayor"),CONCATENATE("R",'Mapa final'!$A$28),"")</f>
        <v/>
      </c>
      <c r="AC32" s="446"/>
      <c r="AD32" s="444" t="str">
        <f>IF(AND('Mapa final'!$H$34="Baja",'Mapa final'!$L$34="Mayor"),CONCATENATE("R",'Mapa final'!$A$34),"")</f>
        <v/>
      </c>
      <c r="AE32" s="444"/>
      <c r="AF32" s="444" t="str">
        <f>IF(AND('Mapa final'!$H$40="Baja",'Mapa final'!$L$40="Mayor"),CONCATENATE("R",'Mapa final'!$A$40),"")</f>
        <v/>
      </c>
      <c r="AG32" s="445"/>
      <c r="AH32" s="457" t="str">
        <f>IF(AND('Mapa final'!$H$28="Baja",'Mapa final'!$L$28="Catastrófico"),CONCATENATE("R",'Mapa final'!$A$28),"")</f>
        <v/>
      </c>
      <c r="AI32" s="458"/>
      <c r="AJ32" s="458" t="str">
        <f>IF(AND('Mapa final'!$H$34="Baja",'Mapa final'!$L$34="Catastrófico"),CONCATENATE("R",'Mapa final'!$A$34),"")</f>
        <v/>
      </c>
      <c r="AK32" s="458"/>
      <c r="AL32" s="458" t="str">
        <f>IF(AND('Mapa final'!$H$40="Baja",'Mapa final'!$L$40="Catastrófico"),CONCATENATE("R",'Mapa final'!$A$40),"")</f>
        <v/>
      </c>
      <c r="AM32" s="459"/>
      <c r="AN32" s="83"/>
      <c r="AO32" s="429"/>
      <c r="AP32" s="430"/>
      <c r="AQ32" s="430"/>
      <c r="AR32" s="430"/>
      <c r="AS32" s="430"/>
      <c r="AT32" s="43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97"/>
      <c r="C33" s="397"/>
      <c r="D33" s="398"/>
      <c r="E33" s="438"/>
      <c r="F33" s="439"/>
      <c r="G33" s="439"/>
      <c r="H33" s="439"/>
      <c r="I33" s="452"/>
      <c r="J33" s="477"/>
      <c r="K33" s="475"/>
      <c r="L33" s="475"/>
      <c r="M33" s="475"/>
      <c r="N33" s="475"/>
      <c r="O33" s="476"/>
      <c r="P33" s="467"/>
      <c r="Q33" s="467"/>
      <c r="R33" s="467"/>
      <c r="S33" s="467"/>
      <c r="T33" s="467"/>
      <c r="U33" s="468"/>
      <c r="V33" s="466"/>
      <c r="W33" s="467"/>
      <c r="X33" s="467"/>
      <c r="Y33" s="467"/>
      <c r="Z33" s="467"/>
      <c r="AA33" s="468"/>
      <c r="AB33" s="449"/>
      <c r="AC33" s="446"/>
      <c r="AD33" s="444"/>
      <c r="AE33" s="444"/>
      <c r="AF33" s="444"/>
      <c r="AG33" s="445"/>
      <c r="AH33" s="457"/>
      <c r="AI33" s="458"/>
      <c r="AJ33" s="458"/>
      <c r="AK33" s="458"/>
      <c r="AL33" s="458"/>
      <c r="AM33" s="459"/>
      <c r="AN33" s="83"/>
      <c r="AO33" s="429"/>
      <c r="AP33" s="430"/>
      <c r="AQ33" s="430"/>
      <c r="AR33" s="430"/>
      <c r="AS33" s="430"/>
      <c r="AT33" s="43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97"/>
      <c r="C34" s="397"/>
      <c r="D34" s="398"/>
      <c r="E34" s="438"/>
      <c r="F34" s="439"/>
      <c r="G34" s="439"/>
      <c r="H34" s="439"/>
      <c r="I34" s="452"/>
      <c r="J34" s="477" t="str">
        <f>IF(AND('Mapa final'!$H$46="Baja",'Mapa final'!$L$46="Leve"),CONCATENATE("R",'Mapa final'!$A$46),"")</f>
        <v/>
      </c>
      <c r="K34" s="475"/>
      <c r="L34" s="475" t="str">
        <f>IF(AND('Mapa final'!$H$52="Baja",'Mapa final'!$L$52="Leve"),CONCATENATE("R",'Mapa final'!$A$52),"")</f>
        <v/>
      </c>
      <c r="M34" s="475"/>
      <c r="N34" s="475" t="str">
        <f>IF(AND('Mapa final'!$H$58="Baja",'Mapa final'!$L$58="Leve"),CONCATENATE("R",'Mapa final'!$A$58),"")</f>
        <v/>
      </c>
      <c r="O34" s="476"/>
      <c r="P34" s="467" t="str">
        <f>IF(AND('Mapa final'!$H$46="Baja",'Mapa final'!$L$46="Menor"),CONCATENATE("R",'Mapa final'!$A$46),"")</f>
        <v/>
      </c>
      <c r="Q34" s="467"/>
      <c r="R34" s="467" t="str">
        <f>IF(AND('Mapa final'!$H$52="Baja",'Mapa final'!$L$52="Menor"),CONCATENATE("R",'Mapa final'!$A$52),"")</f>
        <v/>
      </c>
      <c r="S34" s="467"/>
      <c r="T34" s="467" t="str">
        <f>IF(AND('Mapa final'!$H$58="Baja",'Mapa final'!$L$58="Menor"),CONCATENATE("R",'Mapa final'!$A$58),"")</f>
        <v/>
      </c>
      <c r="U34" s="468"/>
      <c r="V34" s="466" t="str">
        <f>IF(AND('Mapa final'!$H$46="Baja",'Mapa final'!$L$46="Moderado"),CONCATENATE("R",'Mapa final'!$A$46),"")</f>
        <v/>
      </c>
      <c r="W34" s="467"/>
      <c r="X34" s="467" t="str">
        <f>IF(AND('Mapa final'!$H$52="Baja",'Mapa final'!$L$52="Moderado"),CONCATENATE("R",'Mapa final'!$A$52),"")</f>
        <v/>
      </c>
      <c r="Y34" s="467"/>
      <c r="Z34" s="467" t="str">
        <f>IF(AND('Mapa final'!$H$58="Baja",'Mapa final'!$L$58="Moderado"),CONCATENATE("R",'Mapa final'!$A$58),"")</f>
        <v/>
      </c>
      <c r="AA34" s="468"/>
      <c r="AB34" s="449" t="str">
        <f>IF(AND('Mapa final'!$H$46="Baja",'Mapa final'!$L$46="Mayor"),CONCATENATE("R",'Mapa final'!$A$46),"")</f>
        <v/>
      </c>
      <c r="AC34" s="446"/>
      <c r="AD34" s="444" t="str">
        <f>IF(AND('Mapa final'!$H$52="Baja",'Mapa final'!$L$52="Mayor"),CONCATENATE("R",'Mapa final'!$A$52),"")</f>
        <v/>
      </c>
      <c r="AE34" s="444"/>
      <c r="AF34" s="444" t="str">
        <f>IF(AND('Mapa final'!$H$58="Baja",'Mapa final'!$L$58="Mayor"),CONCATENATE("R",'Mapa final'!$A$58),"")</f>
        <v/>
      </c>
      <c r="AG34" s="445"/>
      <c r="AH34" s="457" t="str">
        <f>IF(AND('Mapa final'!$H$46="Baja",'Mapa final'!$L$46="Catastrófico"),CONCATENATE("R",'Mapa final'!$A$46),"")</f>
        <v/>
      </c>
      <c r="AI34" s="458"/>
      <c r="AJ34" s="458" t="str">
        <f>IF(AND('Mapa final'!$H$52="Baja",'Mapa final'!$L$52="Catastrófico"),CONCATENATE("R",'Mapa final'!$A$52),"")</f>
        <v/>
      </c>
      <c r="AK34" s="458"/>
      <c r="AL34" s="458" t="str">
        <f>IF(AND('Mapa final'!$H$58="Baja",'Mapa final'!$L$58="Catastrófico"),CONCATENATE("R",'Mapa final'!$A$58),"")</f>
        <v/>
      </c>
      <c r="AM34" s="459"/>
      <c r="AN34" s="83"/>
      <c r="AO34" s="429"/>
      <c r="AP34" s="430"/>
      <c r="AQ34" s="430"/>
      <c r="AR34" s="430"/>
      <c r="AS34" s="430"/>
      <c r="AT34" s="43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97"/>
      <c r="C35" s="397"/>
      <c r="D35" s="398"/>
      <c r="E35" s="438"/>
      <c r="F35" s="439"/>
      <c r="G35" s="439"/>
      <c r="H35" s="439"/>
      <c r="I35" s="452"/>
      <c r="J35" s="477"/>
      <c r="K35" s="475"/>
      <c r="L35" s="475"/>
      <c r="M35" s="475"/>
      <c r="N35" s="475"/>
      <c r="O35" s="476"/>
      <c r="P35" s="467"/>
      <c r="Q35" s="467"/>
      <c r="R35" s="467"/>
      <c r="S35" s="467"/>
      <c r="T35" s="467"/>
      <c r="U35" s="468"/>
      <c r="V35" s="466"/>
      <c r="W35" s="467"/>
      <c r="X35" s="467"/>
      <c r="Y35" s="467"/>
      <c r="Z35" s="467"/>
      <c r="AA35" s="468"/>
      <c r="AB35" s="449"/>
      <c r="AC35" s="446"/>
      <c r="AD35" s="444"/>
      <c r="AE35" s="444"/>
      <c r="AF35" s="444"/>
      <c r="AG35" s="445"/>
      <c r="AH35" s="457"/>
      <c r="AI35" s="458"/>
      <c r="AJ35" s="458"/>
      <c r="AK35" s="458"/>
      <c r="AL35" s="458"/>
      <c r="AM35" s="459"/>
      <c r="AN35" s="83"/>
      <c r="AO35" s="429"/>
      <c r="AP35" s="430"/>
      <c r="AQ35" s="430"/>
      <c r="AR35" s="430"/>
      <c r="AS35" s="430"/>
      <c r="AT35" s="43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97"/>
      <c r="C36" s="397"/>
      <c r="D36" s="398"/>
      <c r="E36" s="438"/>
      <c r="F36" s="439"/>
      <c r="G36" s="439"/>
      <c r="H36" s="439"/>
      <c r="I36" s="452"/>
      <c r="J36" s="477" t="str">
        <f>IF(AND('Mapa final'!$H$64="Baja",'Mapa final'!$L$64="Leve"),CONCATENATE("R",'Mapa final'!$A$64),"")</f>
        <v/>
      </c>
      <c r="K36" s="475"/>
      <c r="L36" s="475" t="str">
        <f>IF(AND('Mapa final'!$H$70="Baja",'Mapa final'!$L$70="Leve"),CONCATENATE("R",'Mapa final'!$A$70),"")</f>
        <v/>
      </c>
      <c r="M36" s="475"/>
      <c r="N36" s="475" t="str">
        <f>IF(AND('Mapa final'!$H$76="Baja",'Mapa final'!$L$76="Leve"),CONCATENATE("R",'Mapa final'!$A$76),"")</f>
        <v/>
      </c>
      <c r="O36" s="476"/>
      <c r="P36" s="467" t="str">
        <f>IF(AND('Mapa final'!$H$64="Baja",'Mapa final'!$L$64="Menor"),CONCATENATE("R",'Mapa final'!$A$64),"")</f>
        <v/>
      </c>
      <c r="Q36" s="467"/>
      <c r="R36" s="467" t="str">
        <f>IF(AND('Mapa final'!$H$70="Baja",'Mapa final'!$L$70="Menor"),CONCATENATE("R",'Mapa final'!$A$70),"")</f>
        <v/>
      </c>
      <c r="S36" s="467"/>
      <c r="T36" s="467" t="str">
        <f>IF(AND('Mapa final'!$H$76="Baja",'Mapa final'!$L$76="Menor"),CONCATENATE("R",'Mapa final'!$A$76),"")</f>
        <v/>
      </c>
      <c r="U36" s="468"/>
      <c r="V36" s="466" t="str">
        <f>IF(AND('Mapa final'!$H$64="Baja",'Mapa final'!$L$64="Moderado"),CONCATENATE("R",'Mapa final'!$A$64),"")</f>
        <v/>
      </c>
      <c r="W36" s="467"/>
      <c r="X36" s="467" t="str">
        <f>IF(AND('Mapa final'!$H$70="Baja",'Mapa final'!$L$70="Moderado"),CONCATENATE("R",'Mapa final'!$A$70),"")</f>
        <v/>
      </c>
      <c r="Y36" s="467"/>
      <c r="Z36" s="467" t="str">
        <f>IF(AND('Mapa final'!$H$76="Baja",'Mapa final'!$L$76="Moderado"),CONCATENATE("R",'Mapa final'!$A$76),"")</f>
        <v/>
      </c>
      <c r="AA36" s="468"/>
      <c r="AB36" s="449" t="str">
        <f>IF(AND('Mapa final'!$H$64="Baja",'Mapa final'!$L$64="Mayor"),CONCATENATE("R",'Mapa final'!$A$64),"")</f>
        <v/>
      </c>
      <c r="AC36" s="446"/>
      <c r="AD36" s="444" t="str">
        <f>IF(AND('Mapa final'!$H$70="Baja",'Mapa final'!$L$70="Mayor"),CONCATENATE("R",'Mapa final'!$A$70),"")</f>
        <v/>
      </c>
      <c r="AE36" s="444"/>
      <c r="AF36" s="444" t="str">
        <f>IF(AND('Mapa final'!$H$76="Baja",'Mapa final'!$L$76="Mayor"),CONCATENATE("R",'Mapa final'!$A$76),"")</f>
        <v/>
      </c>
      <c r="AG36" s="445"/>
      <c r="AH36" s="457" t="str">
        <f>IF(AND('Mapa final'!$H$64="Baja",'Mapa final'!$L$64="Catastrófico"),CONCATENATE("R",'Mapa final'!$A$64),"")</f>
        <v/>
      </c>
      <c r="AI36" s="458"/>
      <c r="AJ36" s="458" t="str">
        <f>IF(AND('Mapa final'!$H$70="Baja",'Mapa final'!$L$70="Catastrófico"),CONCATENATE("R",'Mapa final'!$A$70),"")</f>
        <v/>
      </c>
      <c r="AK36" s="458"/>
      <c r="AL36" s="458" t="str">
        <f>IF(AND('Mapa final'!$H$76="Baja",'Mapa final'!$L$76="Catastrófico"),CONCATENATE("R",'Mapa final'!$A$76),"")</f>
        <v/>
      </c>
      <c r="AM36" s="459"/>
      <c r="AN36" s="83"/>
      <c r="AO36" s="429"/>
      <c r="AP36" s="430"/>
      <c r="AQ36" s="430"/>
      <c r="AR36" s="430"/>
      <c r="AS36" s="430"/>
      <c r="AT36" s="43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97"/>
      <c r="C37" s="397"/>
      <c r="D37" s="398"/>
      <c r="E37" s="441"/>
      <c r="F37" s="442"/>
      <c r="G37" s="442"/>
      <c r="H37" s="442"/>
      <c r="I37" s="442"/>
      <c r="J37" s="478"/>
      <c r="K37" s="479"/>
      <c r="L37" s="479"/>
      <c r="M37" s="479"/>
      <c r="N37" s="479"/>
      <c r="O37" s="480"/>
      <c r="P37" s="470"/>
      <c r="Q37" s="470"/>
      <c r="R37" s="470"/>
      <c r="S37" s="470"/>
      <c r="T37" s="470"/>
      <c r="U37" s="471"/>
      <c r="V37" s="469"/>
      <c r="W37" s="470"/>
      <c r="X37" s="470"/>
      <c r="Y37" s="470"/>
      <c r="Z37" s="470"/>
      <c r="AA37" s="471"/>
      <c r="AB37" s="454"/>
      <c r="AC37" s="455"/>
      <c r="AD37" s="455"/>
      <c r="AE37" s="455"/>
      <c r="AF37" s="455"/>
      <c r="AG37" s="456"/>
      <c r="AH37" s="460"/>
      <c r="AI37" s="461"/>
      <c r="AJ37" s="461"/>
      <c r="AK37" s="461"/>
      <c r="AL37" s="461"/>
      <c r="AM37" s="462"/>
      <c r="AN37" s="83"/>
      <c r="AO37" s="432"/>
      <c r="AP37" s="433"/>
      <c r="AQ37" s="433"/>
      <c r="AR37" s="433"/>
      <c r="AS37" s="433"/>
      <c r="AT37" s="43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97"/>
      <c r="C38" s="397"/>
      <c r="D38" s="398"/>
      <c r="E38" s="435" t="s">
        <v>113</v>
      </c>
      <c r="F38" s="436"/>
      <c r="G38" s="436"/>
      <c r="H38" s="436"/>
      <c r="I38" s="437"/>
      <c r="J38" s="481" t="str">
        <f>IF(AND('Mapa final'!$H$10="Muy Baja",'Mapa final'!$L$10="Leve"),CONCATENATE("R",'Mapa final'!$A$10),"")</f>
        <v>R38</v>
      </c>
      <c r="K38" s="482"/>
      <c r="L38" s="482" t="str">
        <f>IF(AND('Mapa final'!$H$16="Muy Baja",'Mapa final'!$L$16="Leve"),CONCATENATE("R",'Mapa final'!$A$16),"")</f>
        <v/>
      </c>
      <c r="M38" s="482"/>
      <c r="N38" s="482" t="str">
        <f>IF(AND('Mapa final'!$H$22="Muy Baja",'Mapa final'!$L$22="Leve"),CONCATENATE("R",'Mapa final'!$A$22),"")</f>
        <v/>
      </c>
      <c r="O38" s="483"/>
      <c r="P38" s="481" t="str">
        <f>IF(AND('Mapa final'!$H$10="Muy Baja",'Mapa final'!$L$10="Menor"),CONCATENATE("R",'Mapa final'!$A$10),"")</f>
        <v/>
      </c>
      <c r="Q38" s="482"/>
      <c r="R38" s="482" t="str">
        <f>IF(AND('Mapa final'!$H$16="Muy Baja",'Mapa final'!$L$16="Menor"),CONCATENATE("R",'Mapa final'!$A$16),"")</f>
        <v/>
      </c>
      <c r="S38" s="482"/>
      <c r="T38" s="482" t="str">
        <f>IF(AND('Mapa final'!$H$22="Muy Baja",'Mapa final'!$L$22="Menor"),CONCATENATE("R",'Mapa final'!$A$22),"")</f>
        <v/>
      </c>
      <c r="U38" s="483"/>
      <c r="V38" s="472" t="str">
        <f>IF(AND('Mapa final'!$H$10="Muy Baja",'Mapa final'!$L$10="Moderado"),CONCATENATE("R",'Mapa final'!$A$10),"")</f>
        <v/>
      </c>
      <c r="W38" s="473"/>
      <c r="X38" s="473" t="str">
        <f>IF(AND('Mapa final'!$H$16="Muy Baja",'Mapa final'!$L$16="Moderado"),CONCATENATE("R",'Mapa final'!$A$16),"")</f>
        <v/>
      </c>
      <c r="Y38" s="473"/>
      <c r="Z38" s="473" t="str">
        <f>IF(AND('Mapa final'!$H$22="Muy Baja",'Mapa final'!$L$22="Moderado"),CONCATENATE("R",'Mapa final'!$A$22),"")</f>
        <v/>
      </c>
      <c r="AA38" s="474"/>
      <c r="AB38" s="447" t="str">
        <f>IF(AND('Mapa final'!$H$10="Muy Baja",'Mapa final'!$L$10="Mayor"),CONCATENATE("R",'Mapa final'!$A$10),"")</f>
        <v/>
      </c>
      <c r="AC38" s="448"/>
      <c r="AD38" s="448" t="str">
        <f>IF(AND('Mapa final'!$H$16="Muy Baja",'Mapa final'!$L$16="Mayor"),CONCATENATE("R",'Mapa final'!$A$16),"")</f>
        <v/>
      </c>
      <c r="AE38" s="448"/>
      <c r="AF38" s="448" t="str">
        <f>IF(AND('Mapa final'!$H$22="Muy Baja",'Mapa final'!$L$22="Mayor"),CONCATENATE("R",'Mapa final'!$A$22),"")</f>
        <v/>
      </c>
      <c r="AG38" s="450"/>
      <c r="AH38" s="463" t="str">
        <f>IF(AND('Mapa final'!$H$10="Muy Baja",'Mapa final'!$L$10="Catastrófico"),CONCATENATE("R",'Mapa final'!$A$10),"")</f>
        <v/>
      </c>
      <c r="AI38" s="464"/>
      <c r="AJ38" s="464" t="str">
        <f>IF(AND('Mapa final'!$H$16="Muy Baja",'Mapa final'!$L$16="Catastrófico"),CONCATENATE("R",'Mapa final'!$A$16),"")</f>
        <v/>
      </c>
      <c r="AK38" s="464"/>
      <c r="AL38" s="464" t="str">
        <f>IF(AND('Mapa final'!$H$22="Muy Baja",'Mapa final'!$L$22="Catastrófico"),CONCATENATE("R",'Mapa final'!$A$22),"")</f>
        <v/>
      </c>
      <c r="AM38" s="46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97"/>
      <c r="C39" s="397"/>
      <c r="D39" s="398"/>
      <c r="E39" s="438"/>
      <c r="F39" s="439"/>
      <c r="G39" s="439"/>
      <c r="H39" s="439"/>
      <c r="I39" s="440"/>
      <c r="J39" s="477"/>
      <c r="K39" s="475"/>
      <c r="L39" s="475"/>
      <c r="M39" s="475"/>
      <c r="N39" s="475"/>
      <c r="O39" s="476"/>
      <c r="P39" s="477"/>
      <c r="Q39" s="475"/>
      <c r="R39" s="475"/>
      <c r="S39" s="475"/>
      <c r="T39" s="475"/>
      <c r="U39" s="476"/>
      <c r="V39" s="466"/>
      <c r="W39" s="467"/>
      <c r="X39" s="467"/>
      <c r="Y39" s="467"/>
      <c r="Z39" s="467"/>
      <c r="AA39" s="468"/>
      <c r="AB39" s="449"/>
      <c r="AC39" s="446"/>
      <c r="AD39" s="446"/>
      <c r="AE39" s="446"/>
      <c r="AF39" s="446"/>
      <c r="AG39" s="445"/>
      <c r="AH39" s="457"/>
      <c r="AI39" s="458"/>
      <c r="AJ39" s="458"/>
      <c r="AK39" s="458"/>
      <c r="AL39" s="458"/>
      <c r="AM39" s="45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97"/>
      <c r="C40" s="397"/>
      <c r="D40" s="398"/>
      <c r="E40" s="438"/>
      <c r="F40" s="439"/>
      <c r="G40" s="439"/>
      <c r="H40" s="439"/>
      <c r="I40" s="440"/>
      <c r="J40" s="477" t="str">
        <f>IF(AND('Mapa final'!$H$28="Muy Baja",'Mapa final'!$L$28="Leve"),CONCATENATE("R",'Mapa final'!$A$28),"")</f>
        <v/>
      </c>
      <c r="K40" s="475"/>
      <c r="L40" s="475" t="str">
        <f>IF(AND('Mapa final'!$H$34="Muy Baja",'Mapa final'!$L$34="Leve"),CONCATENATE("R",'Mapa final'!$A$34),"")</f>
        <v>R42</v>
      </c>
      <c r="M40" s="475"/>
      <c r="N40" s="475" t="str">
        <f>IF(AND('Mapa final'!$H$40="Muy Baja",'Mapa final'!$L$40="Leve"),CONCATENATE("R",'Mapa final'!$A$40),"")</f>
        <v/>
      </c>
      <c r="O40" s="476"/>
      <c r="P40" s="477" t="str">
        <f>IF(AND('Mapa final'!$H$28="Muy Baja",'Mapa final'!$L$28="Menor"),CONCATENATE("R",'Mapa final'!$A$28),"")</f>
        <v/>
      </c>
      <c r="Q40" s="475"/>
      <c r="R40" s="475" t="str">
        <f>IF(AND('Mapa final'!$H$34="Muy Baja",'Mapa final'!$L$34="Menor"),CONCATENATE("R",'Mapa final'!$A$34),"")</f>
        <v/>
      </c>
      <c r="S40" s="475"/>
      <c r="T40" s="475" t="str">
        <f>IF(AND('Mapa final'!$H$40="Muy Baja",'Mapa final'!$L$40="Menor"),CONCATENATE("R",'Mapa final'!$A$40),"")</f>
        <v/>
      </c>
      <c r="U40" s="476"/>
      <c r="V40" s="466" t="str">
        <f>IF(AND('Mapa final'!$H$28="Muy Baja",'Mapa final'!$L$28="Moderado"),CONCATENATE("R",'Mapa final'!$A$28),"")</f>
        <v/>
      </c>
      <c r="W40" s="467"/>
      <c r="X40" s="467" t="str">
        <f>IF(AND('Mapa final'!$H$34="Muy Baja",'Mapa final'!$L$34="Moderado"),CONCATENATE("R",'Mapa final'!$A$34),"")</f>
        <v/>
      </c>
      <c r="Y40" s="467"/>
      <c r="Z40" s="467" t="str">
        <f>IF(AND('Mapa final'!$H$40="Muy Baja",'Mapa final'!$L$40="Moderado"),CONCATENATE("R",'Mapa final'!$A$40),"")</f>
        <v/>
      </c>
      <c r="AA40" s="468"/>
      <c r="AB40" s="449" t="str">
        <f>IF(AND('Mapa final'!$H$28="Muy Baja",'Mapa final'!$L$28="Mayor"),CONCATENATE("R",'Mapa final'!$A$28),"")</f>
        <v/>
      </c>
      <c r="AC40" s="446"/>
      <c r="AD40" s="444" t="str">
        <f>IF(AND('Mapa final'!$H$34="Muy Baja",'Mapa final'!$L$34="Mayor"),CONCATENATE("R",'Mapa final'!$A$34),"")</f>
        <v/>
      </c>
      <c r="AE40" s="444"/>
      <c r="AF40" s="444" t="str">
        <f>IF(AND('Mapa final'!$H$40="Muy Baja",'Mapa final'!$L$40="Mayor"),CONCATENATE("R",'Mapa final'!$A$40),"")</f>
        <v/>
      </c>
      <c r="AG40" s="445"/>
      <c r="AH40" s="457" t="str">
        <f>IF(AND('Mapa final'!$H$28="Muy Baja",'Mapa final'!$L$28="Catastrófico"),CONCATENATE("R",'Mapa final'!$A$28),"")</f>
        <v/>
      </c>
      <c r="AI40" s="458"/>
      <c r="AJ40" s="458" t="str">
        <f>IF(AND('Mapa final'!$H$34="Muy Baja",'Mapa final'!$L$34="Catastrófico"),CONCATENATE("R",'Mapa final'!$A$34),"")</f>
        <v/>
      </c>
      <c r="AK40" s="458"/>
      <c r="AL40" s="458" t="str">
        <f>IF(AND('Mapa final'!$H$40="Muy Baja",'Mapa final'!$L$40="Catastrófico"),CONCATENATE("R",'Mapa final'!$A$40),"")</f>
        <v/>
      </c>
      <c r="AM40" s="45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97"/>
      <c r="C41" s="397"/>
      <c r="D41" s="398"/>
      <c r="E41" s="438"/>
      <c r="F41" s="439"/>
      <c r="G41" s="439"/>
      <c r="H41" s="439"/>
      <c r="I41" s="440"/>
      <c r="J41" s="477"/>
      <c r="K41" s="475"/>
      <c r="L41" s="475"/>
      <c r="M41" s="475"/>
      <c r="N41" s="475"/>
      <c r="O41" s="476"/>
      <c r="P41" s="477"/>
      <c r="Q41" s="475"/>
      <c r="R41" s="475"/>
      <c r="S41" s="475"/>
      <c r="T41" s="475"/>
      <c r="U41" s="476"/>
      <c r="V41" s="466"/>
      <c r="W41" s="467"/>
      <c r="X41" s="467"/>
      <c r="Y41" s="467"/>
      <c r="Z41" s="467"/>
      <c r="AA41" s="468"/>
      <c r="AB41" s="449"/>
      <c r="AC41" s="446"/>
      <c r="AD41" s="444"/>
      <c r="AE41" s="444"/>
      <c r="AF41" s="444"/>
      <c r="AG41" s="445"/>
      <c r="AH41" s="457"/>
      <c r="AI41" s="458"/>
      <c r="AJ41" s="458"/>
      <c r="AK41" s="458"/>
      <c r="AL41" s="458"/>
      <c r="AM41" s="45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97"/>
      <c r="C42" s="397"/>
      <c r="D42" s="398"/>
      <c r="E42" s="438"/>
      <c r="F42" s="439"/>
      <c r="G42" s="439"/>
      <c r="H42" s="439"/>
      <c r="I42" s="440"/>
      <c r="J42" s="477" t="str">
        <f>IF(AND('Mapa final'!$H$46="Muy Baja",'Mapa final'!$L$46="Leve"),CONCATENATE("R",'Mapa final'!$A$46),"")</f>
        <v/>
      </c>
      <c r="K42" s="475"/>
      <c r="L42" s="475" t="str">
        <f>IF(AND('Mapa final'!$H$52="Muy Baja",'Mapa final'!$L$52="Leve"),CONCATENATE("R",'Mapa final'!$A$52),"")</f>
        <v/>
      </c>
      <c r="M42" s="475"/>
      <c r="N42" s="475" t="str">
        <f>IF(AND('Mapa final'!$H$58="Muy Baja",'Mapa final'!$L$58="Leve"),CONCATENATE("R",'Mapa final'!$A$58),"")</f>
        <v/>
      </c>
      <c r="O42" s="476"/>
      <c r="P42" s="477" t="str">
        <f>IF(AND('Mapa final'!$H$46="Muy Baja",'Mapa final'!$L$46="Menor"),CONCATENATE("R",'Mapa final'!$A$46),"")</f>
        <v/>
      </c>
      <c r="Q42" s="475"/>
      <c r="R42" s="475" t="str">
        <f>IF(AND('Mapa final'!$H$52="Muy Baja",'Mapa final'!$L$52="Menor"),CONCATENATE("R",'Mapa final'!$A$52),"")</f>
        <v/>
      </c>
      <c r="S42" s="475"/>
      <c r="T42" s="475" t="str">
        <f>IF(AND('Mapa final'!$H$58="Muy Baja",'Mapa final'!$L$58="Menor"),CONCATENATE("R",'Mapa final'!$A$58),"")</f>
        <v/>
      </c>
      <c r="U42" s="476"/>
      <c r="V42" s="466" t="str">
        <f>IF(AND('Mapa final'!$H$46="Muy Baja",'Mapa final'!$L$46="Moderado"),CONCATENATE("R",'Mapa final'!$A$46),"")</f>
        <v/>
      </c>
      <c r="W42" s="467"/>
      <c r="X42" s="467" t="str">
        <f>IF(AND('Mapa final'!$H$52="Muy Baja",'Mapa final'!$L$52="Moderado"),CONCATENATE("R",'Mapa final'!$A$52),"")</f>
        <v/>
      </c>
      <c r="Y42" s="467"/>
      <c r="Z42" s="467" t="str">
        <f>IF(AND('Mapa final'!$H$58="Muy Baja",'Mapa final'!$L$58="Moderado"),CONCATENATE("R",'Mapa final'!$A$58),"")</f>
        <v/>
      </c>
      <c r="AA42" s="468"/>
      <c r="AB42" s="449" t="str">
        <f>IF(AND('Mapa final'!$H$46="Muy Baja",'Mapa final'!$L$46="Mayor"),CONCATENATE("R",'Mapa final'!$A$46),"")</f>
        <v/>
      </c>
      <c r="AC42" s="446"/>
      <c r="AD42" s="444" t="str">
        <f>IF(AND('Mapa final'!$H$52="Muy Baja",'Mapa final'!$L$52="Mayor"),CONCATENATE("R",'Mapa final'!$A$52),"")</f>
        <v/>
      </c>
      <c r="AE42" s="444"/>
      <c r="AF42" s="444" t="str">
        <f>IF(AND('Mapa final'!$H$58="Muy Baja",'Mapa final'!$L$58="Mayor"),CONCATENATE("R",'Mapa final'!$A$58),"")</f>
        <v/>
      </c>
      <c r="AG42" s="445"/>
      <c r="AH42" s="457" t="str">
        <f>IF(AND('Mapa final'!$H$46="Muy Baja",'Mapa final'!$L$46="Catastrófico"),CONCATENATE("R",'Mapa final'!$A$46),"")</f>
        <v/>
      </c>
      <c r="AI42" s="458"/>
      <c r="AJ42" s="458" t="str">
        <f>IF(AND('Mapa final'!$H$52="Muy Baja",'Mapa final'!$L$52="Catastrófico"),CONCATENATE("R",'Mapa final'!$A$52),"")</f>
        <v/>
      </c>
      <c r="AK42" s="458"/>
      <c r="AL42" s="458" t="str">
        <f>IF(AND('Mapa final'!$H$58="Muy Baja",'Mapa final'!$L$58="Catastrófico"),CONCATENATE("R",'Mapa final'!$A$58),"")</f>
        <v/>
      </c>
      <c r="AM42" s="45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97"/>
      <c r="C43" s="397"/>
      <c r="D43" s="398"/>
      <c r="E43" s="438"/>
      <c r="F43" s="439"/>
      <c r="G43" s="439"/>
      <c r="H43" s="439"/>
      <c r="I43" s="440"/>
      <c r="J43" s="477"/>
      <c r="K43" s="475"/>
      <c r="L43" s="475"/>
      <c r="M43" s="475"/>
      <c r="N43" s="475"/>
      <c r="O43" s="476"/>
      <c r="P43" s="477"/>
      <c r="Q43" s="475"/>
      <c r="R43" s="475"/>
      <c r="S43" s="475"/>
      <c r="T43" s="475"/>
      <c r="U43" s="476"/>
      <c r="V43" s="466"/>
      <c r="W43" s="467"/>
      <c r="X43" s="467"/>
      <c r="Y43" s="467"/>
      <c r="Z43" s="467"/>
      <c r="AA43" s="468"/>
      <c r="AB43" s="449"/>
      <c r="AC43" s="446"/>
      <c r="AD43" s="444"/>
      <c r="AE43" s="444"/>
      <c r="AF43" s="444"/>
      <c r="AG43" s="445"/>
      <c r="AH43" s="457"/>
      <c r="AI43" s="458"/>
      <c r="AJ43" s="458"/>
      <c r="AK43" s="458"/>
      <c r="AL43" s="458"/>
      <c r="AM43" s="45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97"/>
      <c r="C44" s="397"/>
      <c r="D44" s="398"/>
      <c r="E44" s="438"/>
      <c r="F44" s="439"/>
      <c r="G44" s="439"/>
      <c r="H44" s="439"/>
      <c r="I44" s="440"/>
      <c r="J44" s="477" t="str">
        <f>IF(AND('Mapa final'!$H$64="Muy Baja",'Mapa final'!$L$64="Leve"),CONCATENATE("R",'Mapa final'!$A$64),"")</f>
        <v/>
      </c>
      <c r="K44" s="475"/>
      <c r="L44" s="475" t="str">
        <f>IF(AND('Mapa final'!$H$70="Muy Baja",'Mapa final'!$L$70="Leve"),CONCATENATE("R",'Mapa final'!$A$70),"")</f>
        <v/>
      </c>
      <c r="M44" s="475"/>
      <c r="N44" s="475" t="str">
        <f>IF(AND('Mapa final'!$H$76="Muy Baja",'Mapa final'!$L$76="Leve"),CONCATENATE("R",'Mapa final'!$A$76),"")</f>
        <v/>
      </c>
      <c r="O44" s="476"/>
      <c r="P44" s="477" t="str">
        <f>IF(AND('Mapa final'!$H$64="Muy Baja",'Mapa final'!$L$64="Menor"),CONCATENATE("R",'Mapa final'!$A$64),"")</f>
        <v/>
      </c>
      <c r="Q44" s="475"/>
      <c r="R44" s="475" t="str">
        <f>IF(AND('Mapa final'!$H$70="Muy Baja",'Mapa final'!$L$70="Menor"),CONCATENATE("R",'Mapa final'!$A$70),"")</f>
        <v/>
      </c>
      <c r="S44" s="475"/>
      <c r="T44" s="475" t="str">
        <f>IF(AND('Mapa final'!$H$76="Muy Baja",'Mapa final'!$L$76="Menor"),CONCATENATE("R",'Mapa final'!$A$76),"")</f>
        <v/>
      </c>
      <c r="U44" s="476"/>
      <c r="V44" s="466" t="str">
        <f>IF(AND('Mapa final'!$H$64="Muy Baja",'Mapa final'!$L$64="Moderado"),CONCATENATE("R",'Mapa final'!$A$64),"")</f>
        <v/>
      </c>
      <c r="W44" s="467"/>
      <c r="X44" s="467" t="str">
        <f>IF(AND('Mapa final'!$H$70="Muy Baja",'Mapa final'!$L$70="Moderado"),CONCATENATE("R",'Mapa final'!$A$70),"")</f>
        <v/>
      </c>
      <c r="Y44" s="467"/>
      <c r="Z44" s="467" t="str">
        <f>IF(AND('Mapa final'!$H$76="Muy Baja",'Mapa final'!$L$76="Moderado"),CONCATENATE("R",'Mapa final'!$A$76),"")</f>
        <v/>
      </c>
      <c r="AA44" s="468"/>
      <c r="AB44" s="449" t="str">
        <f>IF(AND('Mapa final'!$H$64="Muy Baja",'Mapa final'!$L$64="Mayor"),CONCATENATE("R",'Mapa final'!$A$64),"")</f>
        <v/>
      </c>
      <c r="AC44" s="446"/>
      <c r="AD44" s="444" t="str">
        <f>IF(AND('Mapa final'!$H$70="Muy Baja",'Mapa final'!$L$70="Mayor"),CONCATENATE("R",'Mapa final'!$A$70),"")</f>
        <v/>
      </c>
      <c r="AE44" s="444"/>
      <c r="AF44" s="444" t="str">
        <f>IF(AND('Mapa final'!$H$76="Muy Baja",'Mapa final'!$L$76="Mayor"),CONCATENATE("R",'Mapa final'!$A$76),"")</f>
        <v/>
      </c>
      <c r="AG44" s="445"/>
      <c r="AH44" s="457" t="str">
        <f>IF(AND('Mapa final'!$H$64="Muy Baja",'Mapa final'!$L$64="Catastrófico"),CONCATENATE("R",'Mapa final'!$A$64),"")</f>
        <v/>
      </c>
      <c r="AI44" s="458"/>
      <c r="AJ44" s="458" t="str">
        <f>IF(AND('Mapa final'!$H$70="Muy Baja",'Mapa final'!$L$70="Catastrófico"),CONCATENATE("R",'Mapa final'!$A$70),"")</f>
        <v/>
      </c>
      <c r="AK44" s="458"/>
      <c r="AL44" s="458" t="str">
        <f>IF(AND('Mapa final'!$H$76="Muy Baja",'Mapa final'!$L$76="Catastrófico"),CONCATENATE("R",'Mapa final'!$A$76),"")</f>
        <v/>
      </c>
      <c r="AM44" s="45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97"/>
      <c r="C45" s="397"/>
      <c r="D45" s="398"/>
      <c r="E45" s="441"/>
      <c r="F45" s="442"/>
      <c r="G45" s="442"/>
      <c r="H45" s="442"/>
      <c r="I45" s="443"/>
      <c r="J45" s="478"/>
      <c r="K45" s="479"/>
      <c r="L45" s="479"/>
      <c r="M45" s="479"/>
      <c r="N45" s="479"/>
      <c r="O45" s="480"/>
      <c r="P45" s="478"/>
      <c r="Q45" s="479"/>
      <c r="R45" s="479"/>
      <c r="S45" s="479"/>
      <c r="T45" s="479"/>
      <c r="U45" s="480"/>
      <c r="V45" s="469"/>
      <c r="W45" s="470"/>
      <c r="X45" s="470"/>
      <c r="Y45" s="470"/>
      <c r="Z45" s="470"/>
      <c r="AA45" s="471"/>
      <c r="AB45" s="454"/>
      <c r="AC45" s="455"/>
      <c r="AD45" s="455"/>
      <c r="AE45" s="455"/>
      <c r="AF45" s="455"/>
      <c r="AG45" s="456"/>
      <c r="AH45" s="460"/>
      <c r="AI45" s="461"/>
      <c r="AJ45" s="461"/>
      <c r="AK45" s="461"/>
      <c r="AL45" s="461"/>
      <c r="AM45" s="46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35" t="s">
        <v>112</v>
      </c>
      <c r="K46" s="436"/>
      <c r="L46" s="436"/>
      <c r="M46" s="436"/>
      <c r="N46" s="436"/>
      <c r="O46" s="437"/>
      <c r="P46" s="435" t="s">
        <v>111</v>
      </c>
      <c r="Q46" s="436"/>
      <c r="R46" s="436"/>
      <c r="S46" s="436"/>
      <c r="T46" s="436"/>
      <c r="U46" s="437"/>
      <c r="V46" s="435" t="s">
        <v>110</v>
      </c>
      <c r="W46" s="436"/>
      <c r="X46" s="436"/>
      <c r="Y46" s="436"/>
      <c r="Z46" s="436"/>
      <c r="AA46" s="437"/>
      <c r="AB46" s="435" t="s">
        <v>109</v>
      </c>
      <c r="AC46" s="453"/>
      <c r="AD46" s="436"/>
      <c r="AE46" s="436"/>
      <c r="AF46" s="436"/>
      <c r="AG46" s="437"/>
      <c r="AH46" s="435" t="s">
        <v>108</v>
      </c>
      <c r="AI46" s="436"/>
      <c r="AJ46" s="436"/>
      <c r="AK46" s="436"/>
      <c r="AL46" s="436"/>
      <c r="AM46" s="43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38"/>
      <c r="K47" s="439"/>
      <c r="L47" s="439"/>
      <c r="M47" s="439"/>
      <c r="N47" s="439"/>
      <c r="O47" s="440"/>
      <c r="P47" s="438"/>
      <c r="Q47" s="439"/>
      <c r="R47" s="439"/>
      <c r="S47" s="439"/>
      <c r="T47" s="439"/>
      <c r="U47" s="440"/>
      <c r="V47" s="438"/>
      <c r="W47" s="439"/>
      <c r="X47" s="439"/>
      <c r="Y47" s="439"/>
      <c r="Z47" s="439"/>
      <c r="AA47" s="440"/>
      <c r="AB47" s="438"/>
      <c r="AC47" s="439"/>
      <c r="AD47" s="439"/>
      <c r="AE47" s="439"/>
      <c r="AF47" s="439"/>
      <c r="AG47" s="440"/>
      <c r="AH47" s="438"/>
      <c r="AI47" s="439"/>
      <c r="AJ47" s="439"/>
      <c r="AK47" s="439"/>
      <c r="AL47" s="439"/>
      <c r="AM47" s="440"/>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38"/>
      <c r="K48" s="439"/>
      <c r="L48" s="439"/>
      <c r="M48" s="439"/>
      <c r="N48" s="439"/>
      <c r="O48" s="440"/>
      <c r="P48" s="438"/>
      <c r="Q48" s="439"/>
      <c r="R48" s="439"/>
      <c r="S48" s="439"/>
      <c r="T48" s="439"/>
      <c r="U48" s="440"/>
      <c r="V48" s="438"/>
      <c r="W48" s="439"/>
      <c r="X48" s="439"/>
      <c r="Y48" s="439"/>
      <c r="Z48" s="439"/>
      <c r="AA48" s="440"/>
      <c r="AB48" s="438"/>
      <c r="AC48" s="439"/>
      <c r="AD48" s="439"/>
      <c r="AE48" s="439"/>
      <c r="AF48" s="439"/>
      <c r="AG48" s="440"/>
      <c r="AH48" s="438"/>
      <c r="AI48" s="439"/>
      <c r="AJ48" s="439"/>
      <c r="AK48" s="439"/>
      <c r="AL48" s="439"/>
      <c r="AM48" s="440"/>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38"/>
      <c r="K49" s="439"/>
      <c r="L49" s="439"/>
      <c r="M49" s="439"/>
      <c r="N49" s="439"/>
      <c r="O49" s="440"/>
      <c r="P49" s="438"/>
      <c r="Q49" s="439"/>
      <c r="R49" s="439"/>
      <c r="S49" s="439"/>
      <c r="T49" s="439"/>
      <c r="U49" s="440"/>
      <c r="V49" s="438"/>
      <c r="W49" s="439"/>
      <c r="X49" s="439"/>
      <c r="Y49" s="439"/>
      <c r="Z49" s="439"/>
      <c r="AA49" s="440"/>
      <c r="AB49" s="438"/>
      <c r="AC49" s="439"/>
      <c r="AD49" s="439"/>
      <c r="AE49" s="439"/>
      <c r="AF49" s="439"/>
      <c r="AG49" s="440"/>
      <c r="AH49" s="438"/>
      <c r="AI49" s="439"/>
      <c r="AJ49" s="439"/>
      <c r="AK49" s="439"/>
      <c r="AL49" s="439"/>
      <c r="AM49" s="440"/>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38"/>
      <c r="K50" s="439"/>
      <c r="L50" s="439"/>
      <c r="M50" s="439"/>
      <c r="N50" s="439"/>
      <c r="O50" s="440"/>
      <c r="P50" s="438"/>
      <c r="Q50" s="439"/>
      <c r="R50" s="439"/>
      <c r="S50" s="439"/>
      <c r="T50" s="439"/>
      <c r="U50" s="440"/>
      <c r="V50" s="438"/>
      <c r="W50" s="439"/>
      <c r="X50" s="439"/>
      <c r="Y50" s="439"/>
      <c r="Z50" s="439"/>
      <c r="AA50" s="440"/>
      <c r="AB50" s="438"/>
      <c r="AC50" s="439"/>
      <c r="AD50" s="439"/>
      <c r="AE50" s="439"/>
      <c r="AF50" s="439"/>
      <c r="AG50" s="440"/>
      <c r="AH50" s="438"/>
      <c r="AI50" s="439"/>
      <c r="AJ50" s="439"/>
      <c r="AK50" s="439"/>
      <c r="AL50" s="439"/>
      <c r="AM50" s="440"/>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41"/>
      <c r="K51" s="442"/>
      <c r="L51" s="442"/>
      <c r="M51" s="442"/>
      <c r="N51" s="442"/>
      <c r="O51" s="443"/>
      <c r="P51" s="441"/>
      <c r="Q51" s="442"/>
      <c r="R51" s="442"/>
      <c r="S51" s="442"/>
      <c r="T51" s="442"/>
      <c r="U51" s="443"/>
      <c r="V51" s="441"/>
      <c r="W51" s="442"/>
      <c r="X51" s="442"/>
      <c r="Y51" s="442"/>
      <c r="Z51" s="442"/>
      <c r="AA51" s="443"/>
      <c r="AB51" s="441"/>
      <c r="AC51" s="442"/>
      <c r="AD51" s="442"/>
      <c r="AE51" s="442"/>
      <c r="AF51" s="442"/>
      <c r="AG51" s="443"/>
      <c r="AH51" s="441"/>
      <c r="AI51" s="442"/>
      <c r="AJ51" s="442"/>
      <c r="AK51" s="442"/>
      <c r="AL51" s="442"/>
      <c r="AM51" s="44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6" zoomScale="50" zoomScaleNormal="50" workbookViewId="0">
      <selection activeCell="AV54" sqref="AV54"/>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11" t="s">
        <v>160</v>
      </c>
      <c r="C2" s="512"/>
      <c r="D2" s="512"/>
      <c r="E2" s="512"/>
      <c r="F2" s="512"/>
      <c r="G2" s="512"/>
      <c r="H2" s="512"/>
      <c r="I2" s="512"/>
      <c r="J2" s="451" t="s">
        <v>2</v>
      </c>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12"/>
      <c r="C3" s="512"/>
      <c r="D3" s="512"/>
      <c r="E3" s="512"/>
      <c r="F3" s="512"/>
      <c r="G3" s="512"/>
      <c r="H3" s="512"/>
      <c r="I3" s="512"/>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12"/>
      <c r="C4" s="512"/>
      <c r="D4" s="512"/>
      <c r="E4" s="512"/>
      <c r="F4" s="512"/>
      <c r="G4" s="512"/>
      <c r="H4" s="512"/>
      <c r="I4" s="512"/>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97" t="s">
        <v>4</v>
      </c>
      <c r="C6" s="397"/>
      <c r="D6" s="398"/>
      <c r="E6" s="494" t="s">
        <v>116</v>
      </c>
      <c r="F6" s="495"/>
      <c r="G6" s="495"/>
      <c r="H6" s="495"/>
      <c r="I6" s="513"/>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3"/>
      <c r="AO6" s="502" t="s">
        <v>79</v>
      </c>
      <c r="AP6" s="503"/>
      <c r="AQ6" s="503"/>
      <c r="AR6" s="503"/>
      <c r="AS6" s="503"/>
      <c r="AT6" s="50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97"/>
      <c r="C7" s="397"/>
      <c r="D7" s="398"/>
      <c r="E7" s="498"/>
      <c r="F7" s="499"/>
      <c r="G7" s="499"/>
      <c r="H7" s="499"/>
      <c r="I7" s="514"/>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3"/>
      <c r="AO7" s="505"/>
      <c r="AP7" s="506"/>
      <c r="AQ7" s="506"/>
      <c r="AR7" s="506"/>
      <c r="AS7" s="506"/>
      <c r="AT7" s="50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97"/>
      <c r="C8" s="397"/>
      <c r="D8" s="398"/>
      <c r="E8" s="498"/>
      <c r="F8" s="499"/>
      <c r="G8" s="499"/>
      <c r="H8" s="499"/>
      <c r="I8" s="514"/>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3"/>
      <c r="AO8" s="505"/>
      <c r="AP8" s="506"/>
      <c r="AQ8" s="506"/>
      <c r="AR8" s="506"/>
      <c r="AS8" s="506"/>
      <c r="AT8" s="50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97"/>
      <c r="C9" s="397"/>
      <c r="D9" s="398"/>
      <c r="E9" s="498"/>
      <c r="F9" s="499"/>
      <c r="G9" s="499"/>
      <c r="H9" s="499"/>
      <c r="I9" s="514"/>
      <c r="J9" s="51" t="str">
        <f>IF(AND('Mapa final'!$Y$28="Muy Alta",'Mapa final'!$AA$28="Leve"),CONCATENATE("R4C",'Mapa final'!$O$28),"")</f>
        <v/>
      </c>
      <c r="K9" s="52" t="str">
        <f>IF(AND('Mapa final'!$Y$29="Muy Alta",'Mapa final'!$AA$29="Leve"),CONCATENATE("R4C",'Mapa final'!$O$29),"")</f>
        <v/>
      </c>
      <c r="L9" s="57" t="str">
        <f>IF(AND('Mapa final'!$Y$30="Muy Alta",'Mapa final'!$AA$30="Leve"),CONCATENATE("R4C",'Mapa final'!$O$30),"")</f>
        <v/>
      </c>
      <c r="M9" s="57" t="str">
        <f>IF(AND('Mapa final'!$Y$31="Muy Alta",'Mapa final'!$AA$31="Leve"),CONCATENATE("R4C",'Mapa final'!$O$31),"")</f>
        <v/>
      </c>
      <c r="N9" s="57"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7" t="str">
        <f>IF(AND('Mapa final'!$Y$30="Muy Alta",'Mapa final'!$AA$30="Menor"),CONCATENATE("R4C",'Mapa final'!$O$30),"")</f>
        <v/>
      </c>
      <c r="S9" s="57" t="str">
        <f>IF(AND('Mapa final'!$Y$31="Muy Alta",'Mapa final'!$AA$31="Menor"),CONCATENATE("R4C",'Mapa final'!$O$31),"")</f>
        <v/>
      </c>
      <c r="T9" s="57"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7" t="str">
        <f>IF(AND('Mapa final'!$Y$30="Muy Alta",'Mapa final'!$AA$30="Moderado"),CONCATENATE("R4C",'Mapa final'!$O$30),"")</f>
        <v/>
      </c>
      <c r="Y9" s="57" t="str">
        <f>IF(AND('Mapa final'!$Y$31="Muy Alta",'Mapa final'!$AA$31="Moderado"),CONCATENATE("R4C",'Mapa final'!$O$31),"")</f>
        <v/>
      </c>
      <c r="Z9" s="57"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7" t="str">
        <f>IF(AND('Mapa final'!$Y$30="Muy Alta",'Mapa final'!$AA$30="Mayor"),CONCATENATE("R4C",'Mapa final'!$O$30),"")</f>
        <v/>
      </c>
      <c r="AE9" s="57" t="str">
        <f>IF(AND('Mapa final'!$Y$31="Muy Alta",'Mapa final'!$AA$31="Mayor"),CONCATENATE("R4C",'Mapa final'!$O$31),"")</f>
        <v/>
      </c>
      <c r="AF9" s="57"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3"/>
      <c r="AO9" s="505"/>
      <c r="AP9" s="506"/>
      <c r="AQ9" s="506"/>
      <c r="AR9" s="506"/>
      <c r="AS9" s="506"/>
      <c r="AT9" s="50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97"/>
      <c r="C10" s="397"/>
      <c r="D10" s="398"/>
      <c r="E10" s="498"/>
      <c r="F10" s="499"/>
      <c r="G10" s="499"/>
      <c r="H10" s="499"/>
      <c r="I10" s="514"/>
      <c r="J10" s="51" t="str">
        <f>IF(AND('Mapa final'!$Y$34="Muy Alta",'Mapa final'!$AA$34="Leve"),CONCATENATE("R5C",'Mapa final'!$O$34),"")</f>
        <v/>
      </c>
      <c r="K10" s="52" t="str">
        <f>IF(AND('Mapa final'!$Y$35="Muy Alta",'Mapa final'!$AA$35="Leve"),CONCATENATE("R5C",'Mapa final'!$O$35),"")</f>
        <v/>
      </c>
      <c r="L10" s="57" t="str">
        <f>IF(AND('Mapa final'!$Y$36="Muy Alta",'Mapa final'!$AA$36="Leve"),CONCATENATE("R5C",'Mapa final'!$O$36),"")</f>
        <v/>
      </c>
      <c r="M10" s="57" t="str">
        <f>IF(AND('Mapa final'!$Y$37="Muy Alta",'Mapa final'!$AA$37="Leve"),CONCATENATE("R5C",'Mapa final'!$O$37),"")</f>
        <v/>
      </c>
      <c r="N10" s="57"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7" t="str">
        <f>IF(AND('Mapa final'!$Y$36="Muy Alta",'Mapa final'!$AA$36="Menor"),CONCATENATE("R5C",'Mapa final'!$O$36),"")</f>
        <v/>
      </c>
      <c r="S10" s="57" t="str">
        <f>IF(AND('Mapa final'!$Y$37="Muy Alta",'Mapa final'!$AA$37="Menor"),CONCATENATE("R5C",'Mapa final'!$O$37),"")</f>
        <v/>
      </c>
      <c r="T10" s="57"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7" t="str">
        <f>IF(AND('Mapa final'!$Y$36="Muy Alta",'Mapa final'!$AA$36="Moderado"),CONCATENATE("R5C",'Mapa final'!$O$36),"")</f>
        <v/>
      </c>
      <c r="Y10" s="57" t="str">
        <f>IF(AND('Mapa final'!$Y$37="Muy Alta",'Mapa final'!$AA$37="Moderado"),CONCATENATE("R5C",'Mapa final'!$O$37),"")</f>
        <v/>
      </c>
      <c r="Z10" s="57"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7" t="str">
        <f>IF(AND('Mapa final'!$Y$36="Muy Alta",'Mapa final'!$AA$36="Mayor"),CONCATENATE("R5C",'Mapa final'!$O$36),"")</f>
        <v/>
      </c>
      <c r="AE10" s="57" t="str">
        <f>IF(AND('Mapa final'!$Y$37="Muy Alta",'Mapa final'!$AA$37="Mayor"),CONCATENATE("R5C",'Mapa final'!$O$37),"")</f>
        <v/>
      </c>
      <c r="AF10" s="57"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3"/>
      <c r="AO10" s="505"/>
      <c r="AP10" s="506"/>
      <c r="AQ10" s="506"/>
      <c r="AR10" s="506"/>
      <c r="AS10" s="506"/>
      <c r="AT10" s="50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97"/>
      <c r="C11" s="397"/>
      <c r="D11" s="398"/>
      <c r="E11" s="498"/>
      <c r="F11" s="499"/>
      <c r="G11" s="499"/>
      <c r="H11" s="499"/>
      <c r="I11" s="514"/>
      <c r="J11" s="51" t="str">
        <f>IF(AND('Mapa final'!$Y$40="Muy Alta",'Mapa final'!$AA$40="Leve"),CONCATENATE("R6C",'Mapa final'!$O$40),"")</f>
        <v/>
      </c>
      <c r="K11" s="52" t="str">
        <f>IF(AND('Mapa final'!$Y$41="Muy Alta",'Mapa final'!$AA$41="Leve"),CONCATENATE("R6C",'Mapa final'!$O$41),"")</f>
        <v/>
      </c>
      <c r="L11" s="57" t="str">
        <f>IF(AND('Mapa final'!$Y$42="Muy Alta",'Mapa final'!$AA$42="Leve"),CONCATENATE("R6C",'Mapa final'!$O$42),"")</f>
        <v/>
      </c>
      <c r="M11" s="57" t="str">
        <f>IF(AND('Mapa final'!$Y$43="Muy Alta",'Mapa final'!$AA$43="Leve"),CONCATENATE("R6C",'Mapa final'!$O$43),"")</f>
        <v/>
      </c>
      <c r="N11" s="57"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7" t="str">
        <f>IF(AND('Mapa final'!$Y$42="Muy Alta",'Mapa final'!$AA$42="Menor"),CONCATENATE("R6C",'Mapa final'!$O$42),"")</f>
        <v/>
      </c>
      <c r="S11" s="57" t="str">
        <f>IF(AND('Mapa final'!$Y$43="Muy Alta",'Mapa final'!$AA$43="Menor"),CONCATENATE("R6C",'Mapa final'!$O$43),"")</f>
        <v/>
      </c>
      <c r="T11" s="57"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7" t="str">
        <f>IF(AND('Mapa final'!$Y$42="Muy Alta",'Mapa final'!$AA$42="Moderado"),CONCATENATE("R6C",'Mapa final'!$O$42),"")</f>
        <v/>
      </c>
      <c r="Y11" s="57" t="str">
        <f>IF(AND('Mapa final'!$Y$43="Muy Alta",'Mapa final'!$AA$43="Moderado"),CONCATENATE("R6C",'Mapa final'!$O$43),"")</f>
        <v/>
      </c>
      <c r="Z11" s="57"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7" t="str">
        <f>IF(AND('Mapa final'!$Y$42="Muy Alta",'Mapa final'!$AA$42="Mayor"),CONCATENATE("R6C",'Mapa final'!$O$42),"")</f>
        <v/>
      </c>
      <c r="AE11" s="57" t="str">
        <f>IF(AND('Mapa final'!$Y$43="Muy Alta",'Mapa final'!$AA$43="Mayor"),CONCATENATE("R6C",'Mapa final'!$O$43),"")</f>
        <v/>
      </c>
      <c r="AF11" s="57"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3"/>
      <c r="AO11" s="505"/>
      <c r="AP11" s="506"/>
      <c r="AQ11" s="506"/>
      <c r="AR11" s="506"/>
      <c r="AS11" s="506"/>
      <c r="AT11" s="50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97"/>
      <c r="C12" s="397"/>
      <c r="D12" s="398"/>
      <c r="E12" s="498"/>
      <c r="F12" s="499"/>
      <c r="G12" s="499"/>
      <c r="H12" s="499"/>
      <c r="I12" s="514"/>
      <c r="J12" s="51" t="str">
        <f>IF(AND('Mapa final'!$Y$46="Muy Alta",'Mapa final'!$AA$46="Leve"),CONCATENATE("R7C",'Mapa final'!$O$46),"")</f>
        <v/>
      </c>
      <c r="K12" s="52" t="str">
        <f>IF(AND('Mapa final'!$Y$47="Muy Alta",'Mapa final'!$AA$47="Leve"),CONCATENATE("R7C",'Mapa final'!$O$47),"")</f>
        <v/>
      </c>
      <c r="L12" s="57" t="str">
        <f>IF(AND('Mapa final'!$Y$48="Muy Alta",'Mapa final'!$AA$48="Leve"),CONCATENATE("R7C",'Mapa final'!$O$48),"")</f>
        <v/>
      </c>
      <c r="M12" s="57" t="str">
        <f>IF(AND('Mapa final'!$Y$49="Muy Alta",'Mapa final'!$AA$49="Leve"),CONCATENATE("R7C",'Mapa final'!$O$49),"")</f>
        <v/>
      </c>
      <c r="N12" s="57"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7" t="str">
        <f>IF(AND('Mapa final'!$Y$48="Muy Alta",'Mapa final'!$AA$48="Menor"),CONCATENATE("R7C",'Mapa final'!$O$48),"")</f>
        <v/>
      </c>
      <c r="S12" s="57" t="str">
        <f>IF(AND('Mapa final'!$Y$49="Muy Alta",'Mapa final'!$AA$49="Menor"),CONCATENATE("R7C",'Mapa final'!$O$49),"")</f>
        <v/>
      </c>
      <c r="T12" s="57"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7" t="str">
        <f>IF(AND('Mapa final'!$Y$48="Muy Alta",'Mapa final'!$AA$48="Moderado"),CONCATENATE("R7C",'Mapa final'!$O$48),"")</f>
        <v/>
      </c>
      <c r="Y12" s="57" t="str">
        <f>IF(AND('Mapa final'!$Y$49="Muy Alta",'Mapa final'!$AA$49="Moderado"),CONCATENATE("R7C",'Mapa final'!$O$49),"")</f>
        <v/>
      </c>
      <c r="Z12" s="57"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7" t="str">
        <f>IF(AND('Mapa final'!$Y$48="Muy Alta",'Mapa final'!$AA$48="Mayor"),CONCATENATE("R7C",'Mapa final'!$O$48),"")</f>
        <v/>
      </c>
      <c r="AE12" s="57" t="str">
        <f>IF(AND('Mapa final'!$Y$49="Muy Alta",'Mapa final'!$AA$49="Mayor"),CONCATENATE("R7C",'Mapa final'!$O$49),"")</f>
        <v/>
      </c>
      <c r="AF12" s="57"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3"/>
      <c r="AO12" s="505"/>
      <c r="AP12" s="506"/>
      <c r="AQ12" s="506"/>
      <c r="AR12" s="506"/>
      <c r="AS12" s="506"/>
      <c r="AT12" s="50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97"/>
      <c r="C13" s="397"/>
      <c r="D13" s="398"/>
      <c r="E13" s="498"/>
      <c r="F13" s="499"/>
      <c r="G13" s="499"/>
      <c r="H13" s="499"/>
      <c r="I13" s="514"/>
      <c r="J13" s="51" t="str">
        <f>IF(AND('Mapa final'!$Y$52="Muy Alta",'Mapa final'!$AA$52="Leve"),CONCATENATE("R8C",'Mapa final'!$O$52),"")</f>
        <v/>
      </c>
      <c r="K13" s="52" t="str">
        <f>IF(AND('Mapa final'!$Y$53="Muy Alta",'Mapa final'!$AA$53="Leve"),CONCATENATE("R8C",'Mapa final'!$O$53),"")</f>
        <v/>
      </c>
      <c r="L13" s="57" t="str">
        <f>IF(AND('Mapa final'!$Y$54="Muy Alta",'Mapa final'!$AA$54="Leve"),CONCATENATE("R8C",'Mapa final'!$O$54),"")</f>
        <v/>
      </c>
      <c r="M13" s="57" t="str">
        <f>IF(AND('Mapa final'!$Y$55="Muy Alta",'Mapa final'!$AA$55="Leve"),CONCATENATE("R8C",'Mapa final'!$O$55),"")</f>
        <v/>
      </c>
      <c r="N13" s="57"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7" t="str">
        <f>IF(AND('Mapa final'!$Y$54="Muy Alta",'Mapa final'!$AA$54="Menor"),CONCATENATE("R8C",'Mapa final'!$O$54),"")</f>
        <v/>
      </c>
      <c r="S13" s="57" t="str">
        <f>IF(AND('Mapa final'!$Y$55="Muy Alta",'Mapa final'!$AA$55="Menor"),CONCATENATE("R8C",'Mapa final'!$O$55),"")</f>
        <v/>
      </c>
      <c r="T13" s="57"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7" t="str">
        <f>IF(AND('Mapa final'!$Y$54="Muy Alta",'Mapa final'!$AA$54="Moderado"),CONCATENATE("R8C",'Mapa final'!$O$54),"")</f>
        <v/>
      </c>
      <c r="Y13" s="57" t="str">
        <f>IF(AND('Mapa final'!$Y$55="Muy Alta",'Mapa final'!$AA$55="Moderado"),CONCATENATE("R8C",'Mapa final'!$O$55),"")</f>
        <v/>
      </c>
      <c r="Z13" s="57"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7" t="str">
        <f>IF(AND('Mapa final'!$Y$54="Muy Alta",'Mapa final'!$AA$54="Mayor"),CONCATENATE("R8C",'Mapa final'!$O$54),"")</f>
        <v/>
      </c>
      <c r="AE13" s="57" t="str">
        <f>IF(AND('Mapa final'!$Y$55="Muy Alta",'Mapa final'!$AA$55="Mayor"),CONCATENATE("R8C",'Mapa final'!$O$55),"")</f>
        <v/>
      </c>
      <c r="AF13" s="57"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3"/>
      <c r="AO13" s="505"/>
      <c r="AP13" s="506"/>
      <c r="AQ13" s="506"/>
      <c r="AR13" s="506"/>
      <c r="AS13" s="506"/>
      <c r="AT13" s="50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97"/>
      <c r="C14" s="397"/>
      <c r="D14" s="398"/>
      <c r="E14" s="498"/>
      <c r="F14" s="499"/>
      <c r="G14" s="499"/>
      <c r="H14" s="499"/>
      <c r="I14" s="514"/>
      <c r="J14" s="51" t="str">
        <f>IF(AND('Mapa final'!$Y$58="Muy Alta",'Mapa final'!$AA$58="Leve"),CONCATENATE("R9C",'Mapa final'!$O$58),"")</f>
        <v/>
      </c>
      <c r="K14" s="52" t="str">
        <f>IF(AND('Mapa final'!$Y$59="Muy Alta",'Mapa final'!$AA$59="Leve"),CONCATENATE("R9C",'Mapa final'!$O$59),"")</f>
        <v/>
      </c>
      <c r="L14" s="57" t="str">
        <f>IF(AND('Mapa final'!$Y$60="Muy Alta",'Mapa final'!$AA$60="Leve"),CONCATENATE("R9C",'Mapa final'!$O$60),"")</f>
        <v/>
      </c>
      <c r="M14" s="57" t="str">
        <f>IF(AND('Mapa final'!$Y$61="Muy Alta",'Mapa final'!$AA$61="Leve"),CONCATENATE("R9C",'Mapa final'!$O$61),"")</f>
        <v/>
      </c>
      <c r="N14" s="57"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7" t="str">
        <f>IF(AND('Mapa final'!$Y$60="Muy Alta",'Mapa final'!$AA$60="Menor"),CONCATENATE("R9C",'Mapa final'!$O$60),"")</f>
        <v/>
      </c>
      <c r="S14" s="57" t="str">
        <f>IF(AND('Mapa final'!$Y$61="Muy Alta",'Mapa final'!$AA$61="Menor"),CONCATENATE("R9C",'Mapa final'!$O$61),"")</f>
        <v/>
      </c>
      <c r="T14" s="57"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7" t="str">
        <f>IF(AND('Mapa final'!$Y$60="Muy Alta",'Mapa final'!$AA$60="Moderado"),CONCATENATE("R9C",'Mapa final'!$O$60),"")</f>
        <v/>
      </c>
      <c r="Y14" s="57" t="str">
        <f>IF(AND('Mapa final'!$Y$61="Muy Alta",'Mapa final'!$AA$61="Moderado"),CONCATENATE("R9C",'Mapa final'!$O$61),"")</f>
        <v/>
      </c>
      <c r="Z14" s="57"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7" t="str">
        <f>IF(AND('Mapa final'!$Y$60="Muy Alta",'Mapa final'!$AA$60="Mayor"),CONCATENATE("R9C",'Mapa final'!$O$60),"")</f>
        <v/>
      </c>
      <c r="AE14" s="57" t="str">
        <f>IF(AND('Mapa final'!$Y$61="Muy Alta",'Mapa final'!$AA$61="Mayor"),CONCATENATE("R9C",'Mapa final'!$O$61),"")</f>
        <v/>
      </c>
      <c r="AF14" s="57"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3"/>
      <c r="AO14" s="505"/>
      <c r="AP14" s="506"/>
      <c r="AQ14" s="506"/>
      <c r="AR14" s="506"/>
      <c r="AS14" s="506"/>
      <c r="AT14" s="50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97"/>
      <c r="C15" s="397"/>
      <c r="D15" s="398"/>
      <c r="E15" s="500"/>
      <c r="F15" s="501"/>
      <c r="G15" s="501"/>
      <c r="H15" s="501"/>
      <c r="I15" s="515"/>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508"/>
      <c r="AP15" s="509"/>
      <c r="AQ15" s="509"/>
      <c r="AR15" s="509"/>
      <c r="AS15" s="509"/>
      <c r="AT15" s="51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97"/>
      <c r="C16" s="397"/>
      <c r="D16" s="398"/>
      <c r="E16" s="494" t="s">
        <v>115</v>
      </c>
      <c r="F16" s="495"/>
      <c r="G16" s="495"/>
      <c r="H16" s="495"/>
      <c r="I16" s="495"/>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3"/>
      <c r="AO16" s="485" t="s">
        <v>80</v>
      </c>
      <c r="AP16" s="486"/>
      <c r="AQ16" s="486"/>
      <c r="AR16" s="486"/>
      <c r="AS16" s="486"/>
      <c r="AT16" s="48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97"/>
      <c r="C17" s="397"/>
      <c r="D17" s="398"/>
      <c r="E17" s="496"/>
      <c r="F17" s="497"/>
      <c r="G17" s="497"/>
      <c r="H17" s="497"/>
      <c r="I17" s="497"/>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3"/>
      <c r="AO17" s="488"/>
      <c r="AP17" s="489"/>
      <c r="AQ17" s="489"/>
      <c r="AR17" s="489"/>
      <c r="AS17" s="489"/>
      <c r="AT17" s="49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97"/>
      <c r="C18" s="397"/>
      <c r="D18" s="398"/>
      <c r="E18" s="498"/>
      <c r="F18" s="499"/>
      <c r="G18" s="499"/>
      <c r="H18" s="499"/>
      <c r="I18" s="497"/>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3"/>
      <c r="AO18" s="488"/>
      <c r="AP18" s="489"/>
      <c r="AQ18" s="489"/>
      <c r="AR18" s="489"/>
      <c r="AS18" s="489"/>
      <c r="AT18" s="49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97"/>
      <c r="C19" s="397"/>
      <c r="D19" s="398"/>
      <c r="E19" s="498"/>
      <c r="F19" s="499"/>
      <c r="G19" s="499"/>
      <c r="H19" s="499"/>
      <c r="I19" s="497"/>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1" t="str">
        <f>IF(AND('Mapa final'!$Y$28="Alta",'Mapa final'!$AA$28="Moderado"),CONCATENATE("R4C",'Mapa final'!$O$28),"")</f>
        <v/>
      </c>
      <c r="W19" s="52" t="str">
        <f>IF(AND('Mapa final'!$Y$29="Alta",'Mapa final'!$AA$29="Moderado"),CONCATENATE("R4C",'Mapa final'!$O$29),"")</f>
        <v/>
      </c>
      <c r="X19" s="57" t="str">
        <f>IF(AND('Mapa final'!$Y$30="Alta",'Mapa final'!$AA$30="Moderado"),CONCATENATE("R4C",'Mapa final'!$O$30),"")</f>
        <v/>
      </c>
      <c r="Y19" s="57" t="str">
        <f>IF(AND('Mapa final'!$Y$31="Alta",'Mapa final'!$AA$31="Moderado"),CONCATENATE("R4C",'Mapa final'!$O$31),"")</f>
        <v/>
      </c>
      <c r="Z19" s="57"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7" t="str">
        <f>IF(AND('Mapa final'!$Y$30="Alta",'Mapa final'!$AA$30="Mayor"),CONCATENATE("R4C",'Mapa final'!$O$30),"")</f>
        <v/>
      </c>
      <c r="AE19" s="57" t="str">
        <f>IF(AND('Mapa final'!$Y$31="Alta",'Mapa final'!$AA$31="Mayor"),CONCATENATE("R4C",'Mapa final'!$O$31),"")</f>
        <v/>
      </c>
      <c r="AF19" s="57"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3"/>
      <c r="AO19" s="488"/>
      <c r="AP19" s="489"/>
      <c r="AQ19" s="489"/>
      <c r="AR19" s="489"/>
      <c r="AS19" s="489"/>
      <c r="AT19" s="49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97"/>
      <c r="C20" s="397"/>
      <c r="D20" s="398"/>
      <c r="E20" s="498"/>
      <c r="F20" s="499"/>
      <c r="G20" s="499"/>
      <c r="H20" s="499"/>
      <c r="I20" s="497"/>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1" t="str">
        <f>IF(AND('Mapa final'!$Y$34="Alta",'Mapa final'!$AA$34="Moderado"),CONCATENATE("R5C",'Mapa final'!$O$34),"")</f>
        <v/>
      </c>
      <c r="W20" s="52" t="str">
        <f>IF(AND('Mapa final'!$Y$35="Alta",'Mapa final'!$AA$35="Moderado"),CONCATENATE("R5C",'Mapa final'!$O$35),"")</f>
        <v/>
      </c>
      <c r="X20" s="57" t="str">
        <f>IF(AND('Mapa final'!$Y$36="Alta",'Mapa final'!$AA$36="Moderado"),CONCATENATE("R5C",'Mapa final'!$O$36),"")</f>
        <v/>
      </c>
      <c r="Y20" s="57" t="str">
        <f>IF(AND('Mapa final'!$Y$37="Alta",'Mapa final'!$AA$37="Moderado"),CONCATENATE("R5C",'Mapa final'!$O$37),"")</f>
        <v/>
      </c>
      <c r="Z20" s="57"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7" t="str">
        <f>IF(AND('Mapa final'!$Y$36="Alta",'Mapa final'!$AA$36="Mayor"),CONCATENATE("R5C",'Mapa final'!$O$36),"")</f>
        <v/>
      </c>
      <c r="AE20" s="57" t="str">
        <f>IF(AND('Mapa final'!$Y$37="Alta",'Mapa final'!$AA$37="Mayor"),CONCATENATE("R5C",'Mapa final'!$O$37),"")</f>
        <v/>
      </c>
      <c r="AF20" s="57"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3"/>
      <c r="AO20" s="488"/>
      <c r="AP20" s="489"/>
      <c r="AQ20" s="489"/>
      <c r="AR20" s="489"/>
      <c r="AS20" s="489"/>
      <c r="AT20" s="49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97"/>
      <c r="C21" s="397"/>
      <c r="D21" s="398"/>
      <c r="E21" s="498"/>
      <c r="F21" s="499"/>
      <c r="G21" s="499"/>
      <c r="H21" s="499"/>
      <c r="I21" s="497"/>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1" t="str">
        <f>IF(AND('Mapa final'!$Y$40="Alta",'Mapa final'!$AA$40="Moderado"),CONCATENATE("R6C",'Mapa final'!$O$40),"")</f>
        <v/>
      </c>
      <c r="W21" s="52" t="str">
        <f>IF(AND('Mapa final'!$Y$41="Alta",'Mapa final'!$AA$41="Moderado"),CONCATENATE("R6C",'Mapa final'!$O$41),"")</f>
        <v/>
      </c>
      <c r="X21" s="57" t="str">
        <f>IF(AND('Mapa final'!$Y$42="Alta",'Mapa final'!$AA$42="Moderado"),CONCATENATE("R6C",'Mapa final'!$O$42),"")</f>
        <v/>
      </c>
      <c r="Y21" s="57" t="str">
        <f>IF(AND('Mapa final'!$Y$43="Alta",'Mapa final'!$AA$43="Moderado"),CONCATENATE("R6C",'Mapa final'!$O$43),"")</f>
        <v/>
      </c>
      <c r="Z21" s="57"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7" t="str">
        <f>IF(AND('Mapa final'!$Y$42="Alta",'Mapa final'!$AA$42="Mayor"),CONCATENATE("R6C",'Mapa final'!$O$42),"")</f>
        <v/>
      </c>
      <c r="AE21" s="57" t="str">
        <f>IF(AND('Mapa final'!$Y$43="Alta",'Mapa final'!$AA$43="Mayor"),CONCATENATE("R6C",'Mapa final'!$O$43),"")</f>
        <v/>
      </c>
      <c r="AF21" s="57"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3"/>
      <c r="AO21" s="488"/>
      <c r="AP21" s="489"/>
      <c r="AQ21" s="489"/>
      <c r="AR21" s="489"/>
      <c r="AS21" s="489"/>
      <c r="AT21" s="49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97"/>
      <c r="C22" s="397"/>
      <c r="D22" s="398"/>
      <c r="E22" s="498"/>
      <c r="F22" s="499"/>
      <c r="G22" s="499"/>
      <c r="H22" s="499"/>
      <c r="I22" s="497"/>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1" t="str">
        <f>IF(AND('Mapa final'!$Y$46="Alta",'Mapa final'!$AA$46="Moderado"),CONCATENATE("R7C",'Mapa final'!$O$46),"")</f>
        <v/>
      </c>
      <c r="W22" s="52" t="str">
        <f>IF(AND('Mapa final'!$Y$47="Alta",'Mapa final'!$AA$47="Moderado"),CONCATENATE("R7C",'Mapa final'!$O$47),"")</f>
        <v/>
      </c>
      <c r="X22" s="57" t="str">
        <f>IF(AND('Mapa final'!$Y$48="Alta",'Mapa final'!$AA$48="Moderado"),CONCATENATE("R7C",'Mapa final'!$O$48),"")</f>
        <v/>
      </c>
      <c r="Y22" s="57" t="str">
        <f>IF(AND('Mapa final'!$Y$49="Alta",'Mapa final'!$AA$49="Moderado"),CONCATENATE("R7C",'Mapa final'!$O$49),"")</f>
        <v/>
      </c>
      <c r="Z22" s="57"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7" t="str">
        <f>IF(AND('Mapa final'!$Y$48="Alta",'Mapa final'!$AA$48="Mayor"),CONCATENATE("R7C",'Mapa final'!$O$48),"")</f>
        <v/>
      </c>
      <c r="AE22" s="57" t="str">
        <f>IF(AND('Mapa final'!$Y$49="Alta",'Mapa final'!$AA$49="Mayor"),CONCATENATE("R7C",'Mapa final'!$O$49),"")</f>
        <v/>
      </c>
      <c r="AF22" s="57"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3"/>
      <c r="AO22" s="488"/>
      <c r="AP22" s="489"/>
      <c r="AQ22" s="489"/>
      <c r="AR22" s="489"/>
      <c r="AS22" s="489"/>
      <c r="AT22" s="49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97"/>
      <c r="C23" s="397"/>
      <c r="D23" s="398"/>
      <c r="E23" s="498"/>
      <c r="F23" s="499"/>
      <c r="G23" s="499"/>
      <c r="H23" s="499"/>
      <c r="I23" s="497"/>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1" t="str">
        <f>IF(AND('Mapa final'!$Y$52="Alta",'Mapa final'!$AA$52="Moderado"),CONCATENATE("R8C",'Mapa final'!$O$52),"")</f>
        <v/>
      </c>
      <c r="W23" s="52" t="str">
        <f>IF(AND('Mapa final'!$Y$53="Alta",'Mapa final'!$AA$53="Moderado"),CONCATENATE("R8C",'Mapa final'!$O$53),"")</f>
        <v/>
      </c>
      <c r="X23" s="57" t="str">
        <f>IF(AND('Mapa final'!$Y$54="Alta",'Mapa final'!$AA$54="Moderado"),CONCATENATE("R8C",'Mapa final'!$O$54),"")</f>
        <v/>
      </c>
      <c r="Y23" s="57" t="str">
        <f>IF(AND('Mapa final'!$Y$55="Alta",'Mapa final'!$AA$55="Moderado"),CONCATENATE("R8C",'Mapa final'!$O$55),"")</f>
        <v/>
      </c>
      <c r="Z23" s="57"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7" t="str">
        <f>IF(AND('Mapa final'!$Y$54="Alta",'Mapa final'!$AA$54="Mayor"),CONCATENATE("R8C",'Mapa final'!$O$54),"")</f>
        <v/>
      </c>
      <c r="AE23" s="57" t="str">
        <f>IF(AND('Mapa final'!$Y$55="Alta",'Mapa final'!$AA$55="Mayor"),CONCATENATE("R8C",'Mapa final'!$O$55),"")</f>
        <v/>
      </c>
      <c r="AF23" s="57"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3"/>
      <c r="AO23" s="488"/>
      <c r="AP23" s="489"/>
      <c r="AQ23" s="489"/>
      <c r="AR23" s="489"/>
      <c r="AS23" s="489"/>
      <c r="AT23" s="49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97"/>
      <c r="C24" s="397"/>
      <c r="D24" s="398"/>
      <c r="E24" s="498"/>
      <c r="F24" s="499"/>
      <c r="G24" s="499"/>
      <c r="H24" s="499"/>
      <c r="I24" s="497"/>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1" t="str">
        <f>IF(AND('Mapa final'!$Y$58="Alta",'Mapa final'!$AA$58="Moderado"),CONCATENATE("R9C",'Mapa final'!$O$58),"")</f>
        <v/>
      </c>
      <c r="W24" s="52" t="str">
        <f>IF(AND('Mapa final'!$Y$59="Alta",'Mapa final'!$AA$59="Moderado"),CONCATENATE("R9C",'Mapa final'!$O$59),"")</f>
        <v/>
      </c>
      <c r="X24" s="57" t="str">
        <f>IF(AND('Mapa final'!$Y$60="Alta",'Mapa final'!$AA$60="Moderado"),CONCATENATE("R9C",'Mapa final'!$O$60),"")</f>
        <v/>
      </c>
      <c r="Y24" s="57" t="str">
        <f>IF(AND('Mapa final'!$Y$61="Alta",'Mapa final'!$AA$61="Moderado"),CONCATENATE("R9C",'Mapa final'!$O$61),"")</f>
        <v/>
      </c>
      <c r="Z24" s="57"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7" t="str">
        <f>IF(AND('Mapa final'!$Y$60="Alta",'Mapa final'!$AA$60="Mayor"),CONCATENATE("R9C",'Mapa final'!$O$60),"")</f>
        <v/>
      </c>
      <c r="AE24" s="57" t="str">
        <f>IF(AND('Mapa final'!$Y$61="Alta",'Mapa final'!$AA$61="Mayor"),CONCATENATE("R9C",'Mapa final'!$O$61),"")</f>
        <v/>
      </c>
      <c r="AF24" s="57"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3"/>
      <c r="AO24" s="488"/>
      <c r="AP24" s="489"/>
      <c r="AQ24" s="489"/>
      <c r="AR24" s="489"/>
      <c r="AS24" s="489"/>
      <c r="AT24" s="49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97"/>
      <c r="C25" s="397"/>
      <c r="D25" s="398"/>
      <c r="E25" s="500"/>
      <c r="F25" s="501"/>
      <c r="G25" s="501"/>
      <c r="H25" s="501"/>
      <c r="I25" s="501"/>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491"/>
      <c r="AP25" s="492"/>
      <c r="AQ25" s="492"/>
      <c r="AR25" s="492"/>
      <c r="AS25" s="492"/>
      <c r="AT25" s="49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97"/>
      <c r="C26" s="397"/>
      <c r="D26" s="398"/>
      <c r="E26" s="494" t="s">
        <v>117</v>
      </c>
      <c r="F26" s="495"/>
      <c r="G26" s="495"/>
      <c r="H26" s="495"/>
      <c r="I26" s="513"/>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3"/>
      <c r="AO26" s="525" t="s">
        <v>81</v>
      </c>
      <c r="AP26" s="526"/>
      <c r="AQ26" s="526"/>
      <c r="AR26" s="526"/>
      <c r="AS26" s="526"/>
      <c r="AT26" s="52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97"/>
      <c r="C27" s="397"/>
      <c r="D27" s="398"/>
      <c r="E27" s="496"/>
      <c r="F27" s="497"/>
      <c r="G27" s="497"/>
      <c r="H27" s="497"/>
      <c r="I27" s="514"/>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R2C39</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3"/>
      <c r="AO27" s="528"/>
      <c r="AP27" s="529"/>
      <c r="AQ27" s="529"/>
      <c r="AR27" s="529"/>
      <c r="AS27" s="529"/>
      <c r="AT27" s="53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97"/>
      <c r="C28" s="397"/>
      <c r="D28" s="398"/>
      <c r="E28" s="498"/>
      <c r="F28" s="499"/>
      <c r="G28" s="499"/>
      <c r="H28" s="499"/>
      <c r="I28" s="514"/>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R3C40</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3"/>
      <c r="AO28" s="528"/>
      <c r="AP28" s="529"/>
      <c r="AQ28" s="529"/>
      <c r="AR28" s="529"/>
      <c r="AS28" s="529"/>
      <c r="AT28" s="53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97"/>
      <c r="C29" s="397"/>
      <c r="D29" s="398"/>
      <c r="E29" s="498"/>
      <c r="F29" s="499"/>
      <c r="G29" s="499"/>
      <c r="H29" s="499"/>
      <c r="I29" s="514"/>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R4C41</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7" t="str">
        <f>IF(AND('Mapa final'!$Y$30="Media",'Mapa final'!$AA$30="Mayor"),CONCATENATE("R4C",'Mapa final'!$O$30),"")</f>
        <v/>
      </c>
      <c r="AE29" s="57" t="str">
        <f>IF(AND('Mapa final'!$Y$31="Media",'Mapa final'!$AA$31="Mayor"),CONCATENATE("R4C",'Mapa final'!$O$31),"")</f>
        <v/>
      </c>
      <c r="AF29" s="57"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3"/>
      <c r="AO29" s="528"/>
      <c r="AP29" s="529"/>
      <c r="AQ29" s="529"/>
      <c r="AR29" s="529"/>
      <c r="AS29" s="529"/>
      <c r="AT29" s="53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97"/>
      <c r="C30" s="397"/>
      <c r="D30" s="398"/>
      <c r="E30" s="498"/>
      <c r="F30" s="499"/>
      <c r="G30" s="499"/>
      <c r="H30" s="499"/>
      <c r="I30" s="514"/>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7" t="str">
        <f>IF(AND('Mapa final'!$Y$36="Media",'Mapa final'!$AA$36="Mayor"),CONCATENATE("R5C",'Mapa final'!$O$36),"")</f>
        <v/>
      </c>
      <c r="AE30" s="57" t="str">
        <f>IF(AND('Mapa final'!$Y$37="Media",'Mapa final'!$AA$37="Mayor"),CONCATENATE("R5C",'Mapa final'!$O$37),"")</f>
        <v/>
      </c>
      <c r="AF30" s="57"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3"/>
      <c r="AO30" s="528"/>
      <c r="AP30" s="529"/>
      <c r="AQ30" s="529"/>
      <c r="AR30" s="529"/>
      <c r="AS30" s="529"/>
      <c r="AT30" s="53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97"/>
      <c r="C31" s="397"/>
      <c r="D31" s="398"/>
      <c r="E31" s="498"/>
      <c r="F31" s="499"/>
      <c r="G31" s="499"/>
      <c r="H31" s="499"/>
      <c r="I31" s="514"/>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7" t="str">
        <f>IF(AND('Mapa final'!$Y$42="Media",'Mapa final'!$AA$42="Mayor"),CONCATENATE("R6C",'Mapa final'!$O$42),"")</f>
        <v/>
      </c>
      <c r="AE31" s="57" t="str">
        <f>IF(AND('Mapa final'!$Y$43="Media",'Mapa final'!$AA$43="Mayor"),CONCATENATE("R6C",'Mapa final'!$O$43),"")</f>
        <v/>
      </c>
      <c r="AF31" s="57"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3"/>
      <c r="AO31" s="528"/>
      <c r="AP31" s="529"/>
      <c r="AQ31" s="529"/>
      <c r="AR31" s="529"/>
      <c r="AS31" s="529"/>
      <c r="AT31" s="53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97"/>
      <c r="C32" s="397"/>
      <c r="D32" s="398"/>
      <c r="E32" s="498"/>
      <c r="F32" s="499"/>
      <c r="G32" s="499"/>
      <c r="H32" s="499"/>
      <c r="I32" s="514"/>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7" t="str">
        <f>IF(AND('Mapa final'!$Y$48="Media",'Mapa final'!$AA$48="Mayor"),CONCATENATE("R7C",'Mapa final'!$O$48),"")</f>
        <v/>
      </c>
      <c r="AE32" s="57" t="str">
        <f>IF(AND('Mapa final'!$Y$49="Media",'Mapa final'!$AA$49="Mayor"),CONCATENATE("R7C",'Mapa final'!$O$49),"")</f>
        <v/>
      </c>
      <c r="AF32" s="57"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3"/>
      <c r="AO32" s="528"/>
      <c r="AP32" s="529"/>
      <c r="AQ32" s="529"/>
      <c r="AR32" s="529"/>
      <c r="AS32" s="529"/>
      <c r="AT32" s="53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97"/>
      <c r="C33" s="397"/>
      <c r="D33" s="398"/>
      <c r="E33" s="498"/>
      <c r="F33" s="499"/>
      <c r="G33" s="499"/>
      <c r="H33" s="499"/>
      <c r="I33" s="514"/>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7" t="str">
        <f>IF(AND('Mapa final'!$Y$54="Media",'Mapa final'!$AA$54="Mayor"),CONCATENATE("R8C",'Mapa final'!$O$54),"")</f>
        <v/>
      </c>
      <c r="AE33" s="57" t="str">
        <f>IF(AND('Mapa final'!$Y$55="Media",'Mapa final'!$AA$55="Mayor"),CONCATENATE("R8C",'Mapa final'!$O$55),"")</f>
        <v/>
      </c>
      <c r="AF33" s="57"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3"/>
      <c r="AO33" s="528"/>
      <c r="AP33" s="529"/>
      <c r="AQ33" s="529"/>
      <c r="AR33" s="529"/>
      <c r="AS33" s="529"/>
      <c r="AT33" s="53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97"/>
      <c r="C34" s="397"/>
      <c r="D34" s="398"/>
      <c r="E34" s="498"/>
      <c r="F34" s="499"/>
      <c r="G34" s="499"/>
      <c r="H34" s="499"/>
      <c r="I34" s="514"/>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7" t="str">
        <f>IF(AND('Mapa final'!$Y$60="Media",'Mapa final'!$AA$60="Mayor"),CONCATENATE("R9C",'Mapa final'!$O$60),"")</f>
        <v/>
      </c>
      <c r="AE34" s="57" t="str">
        <f>IF(AND('Mapa final'!$Y$61="Media",'Mapa final'!$AA$61="Mayor"),CONCATENATE("R9C",'Mapa final'!$O$61),"")</f>
        <v/>
      </c>
      <c r="AF34" s="57"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3"/>
      <c r="AO34" s="528"/>
      <c r="AP34" s="529"/>
      <c r="AQ34" s="529"/>
      <c r="AR34" s="529"/>
      <c r="AS34" s="529"/>
      <c r="AT34" s="53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97"/>
      <c r="C35" s="397"/>
      <c r="D35" s="398"/>
      <c r="E35" s="500"/>
      <c r="F35" s="501"/>
      <c r="G35" s="501"/>
      <c r="H35" s="501"/>
      <c r="I35" s="515"/>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531"/>
      <c r="AP35" s="532"/>
      <c r="AQ35" s="532"/>
      <c r="AR35" s="532"/>
      <c r="AS35" s="532"/>
      <c r="AT35" s="53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97"/>
      <c r="C36" s="397"/>
      <c r="D36" s="398"/>
      <c r="E36" s="494" t="s">
        <v>114</v>
      </c>
      <c r="F36" s="495"/>
      <c r="G36" s="495"/>
      <c r="H36" s="495"/>
      <c r="I36" s="495"/>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
      </c>
      <c r="Q36" s="65" t="str">
        <f>IF(AND('Mapa final'!$Y$11="Baja",'Mapa final'!$AA$11="Menor"),CONCATENATE("R1C",'Mapa final'!$O$11),"")</f>
        <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3"/>
      <c r="AO36" s="516" t="s">
        <v>82</v>
      </c>
      <c r="AP36" s="517"/>
      <c r="AQ36" s="517"/>
      <c r="AR36" s="517"/>
      <c r="AS36" s="517"/>
      <c r="AT36" s="51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97"/>
      <c r="C37" s="397"/>
      <c r="D37" s="398"/>
      <c r="E37" s="496"/>
      <c r="F37" s="497"/>
      <c r="G37" s="497"/>
      <c r="H37" s="497"/>
      <c r="I37" s="497"/>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
      </c>
      <c r="Q37" s="68" t="str">
        <f>IF(AND('Mapa final'!$Y$17="Baja",'Mapa final'!$AA$17="Menor"),CONCATENATE("R2C",'Mapa final'!$O$17),"")</f>
        <v/>
      </c>
      <c r="R37" s="68" t="str">
        <f>IF(AND('Mapa final'!$Y$18="Baja",'Mapa final'!$AA$18="Menor"),CONCATENATE("R2C",'Mapa final'!$O$18),"")</f>
        <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
      </c>
      <c r="W37" s="68" t="str">
        <f>IF(AND('Mapa final'!$Y$17="Baja",'Mapa final'!$AA$17="Moderado"),CONCATENATE("R2C",'Mapa final'!$O$17),"")</f>
        <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3"/>
      <c r="AO37" s="519"/>
      <c r="AP37" s="520"/>
      <c r="AQ37" s="520"/>
      <c r="AR37" s="520"/>
      <c r="AS37" s="520"/>
      <c r="AT37" s="52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97"/>
      <c r="C38" s="397"/>
      <c r="D38" s="398"/>
      <c r="E38" s="498"/>
      <c r="F38" s="499"/>
      <c r="G38" s="499"/>
      <c r="H38" s="499"/>
      <c r="I38" s="497"/>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
      </c>
      <c r="W38" s="68" t="str">
        <f>IF(AND('Mapa final'!$Y$23="Baja",'Mapa final'!$AA$23="Moderado"),CONCATENATE("R3C",'Mapa final'!$O$23),"")</f>
        <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3"/>
      <c r="AO38" s="519"/>
      <c r="AP38" s="520"/>
      <c r="AQ38" s="520"/>
      <c r="AR38" s="520"/>
      <c r="AS38" s="520"/>
      <c r="AT38" s="521"/>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97"/>
      <c r="C39" s="397"/>
      <c r="D39" s="398"/>
      <c r="E39" s="498"/>
      <c r="F39" s="499"/>
      <c r="G39" s="499"/>
      <c r="H39" s="499"/>
      <c r="I39" s="497"/>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3"/>
      <c r="AO39" s="519"/>
      <c r="AP39" s="520"/>
      <c r="AQ39" s="520"/>
      <c r="AR39" s="520"/>
      <c r="AS39" s="520"/>
      <c r="AT39" s="521"/>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97"/>
      <c r="C40" s="397"/>
      <c r="D40" s="398"/>
      <c r="E40" s="498"/>
      <c r="F40" s="499"/>
      <c r="G40" s="499"/>
      <c r="H40" s="499"/>
      <c r="I40" s="497"/>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1" t="str">
        <f>IF(AND('Mapa final'!$Y$34="Baja",'Mapa final'!$AA$34="Mayor"),CONCATENATE("R5C",'Mapa final'!$O$34),"")</f>
        <v/>
      </c>
      <c r="AC40" s="52" t="str">
        <f>IF(AND('Mapa final'!$Y$35="Baja",'Mapa final'!$AA$35="Mayor"),CONCATENATE("R5C",'Mapa final'!$O$35),"")</f>
        <v/>
      </c>
      <c r="AD40" s="57" t="str">
        <f>IF(AND('Mapa final'!$Y$36="Baja",'Mapa final'!$AA$36="Mayor"),CONCATENATE("R5C",'Mapa final'!$O$36),"")</f>
        <v/>
      </c>
      <c r="AE40" s="57" t="str">
        <f>IF(AND('Mapa final'!$Y$37="Baja",'Mapa final'!$AA$37="Mayor"),CONCATENATE("R5C",'Mapa final'!$O$37),"")</f>
        <v/>
      </c>
      <c r="AF40" s="57"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3"/>
      <c r="AO40" s="519"/>
      <c r="AP40" s="520"/>
      <c r="AQ40" s="520"/>
      <c r="AR40" s="520"/>
      <c r="AS40" s="520"/>
      <c r="AT40" s="521"/>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97"/>
      <c r="C41" s="397"/>
      <c r="D41" s="398"/>
      <c r="E41" s="498"/>
      <c r="F41" s="499"/>
      <c r="G41" s="499"/>
      <c r="H41" s="499"/>
      <c r="I41" s="497"/>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R6C43</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1" t="str">
        <f>IF(AND('Mapa final'!$Y$40="Baja",'Mapa final'!$AA$40="Mayor"),CONCATENATE("R6C",'Mapa final'!$O$40),"")</f>
        <v/>
      </c>
      <c r="AC41" s="52" t="str">
        <f>IF(AND('Mapa final'!$Y$41="Baja",'Mapa final'!$AA$41="Mayor"),CONCATENATE("R6C",'Mapa final'!$O$41),"")</f>
        <v/>
      </c>
      <c r="AD41" s="57" t="str">
        <f>IF(AND('Mapa final'!$Y$42="Baja",'Mapa final'!$AA$42="Mayor"),CONCATENATE("R6C",'Mapa final'!$O$42),"")</f>
        <v/>
      </c>
      <c r="AE41" s="57" t="str">
        <f>IF(AND('Mapa final'!$Y$43="Baja",'Mapa final'!$AA$43="Mayor"),CONCATENATE("R6C",'Mapa final'!$O$43),"")</f>
        <v/>
      </c>
      <c r="AF41" s="57"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3"/>
      <c r="AO41" s="519"/>
      <c r="AP41" s="520"/>
      <c r="AQ41" s="520"/>
      <c r="AR41" s="520"/>
      <c r="AS41" s="520"/>
      <c r="AT41" s="521"/>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97"/>
      <c r="C42" s="397"/>
      <c r="D42" s="398"/>
      <c r="E42" s="498"/>
      <c r="F42" s="499"/>
      <c r="G42" s="499"/>
      <c r="H42" s="499"/>
      <c r="I42" s="497"/>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1" t="str">
        <f>IF(AND('Mapa final'!$Y$46="Baja",'Mapa final'!$AA$46="Mayor"),CONCATENATE("R7C",'Mapa final'!$O$46),"")</f>
        <v/>
      </c>
      <c r="AC42" s="52" t="str">
        <f>IF(AND('Mapa final'!$Y$47="Baja",'Mapa final'!$AA$47="Mayor"),CONCATENATE("R7C",'Mapa final'!$O$47),"")</f>
        <v/>
      </c>
      <c r="AD42" s="57" t="str">
        <f>IF(AND('Mapa final'!$Y$48="Baja",'Mapa final'!$AA$48="Mayor"),CONCATENATE("R7C",'Mapa final'!$O$48),"")</f>
        <v/>
      </c>
      <c r="AE42" s="57" t="str">
        <f>IF(AND('Mapa final'!$Y$49="Baja",'Mapa final'!$AA$49="Mayor"),CONCATENATE("R7C",'Mapa final'!$O$49),"")</f>
        <v/>
      </c>
      <c r="AF42" s="57"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3"/>
      <c r="AO42" s="519"/>
      <c r="AP42" s="520"/>
      <c r="AQ42" s="520"/>
      <c r="AR42" s="520"/>
      <c r="AS42" s="520"/>
      <c r="AT42" s="521"/>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97"/>
      <c r="C43" s="397"/>
      <c r="D43" s="398"/>
      <c r="E43" s="498"/>
      <c r="F43" s="499"/>
      <c r="G43" s="499"/>
      <c r="H43" s="499"/>
      <c r="I43" s="497"/>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1" t="str">
        <f>IF(AND('Mapa final'!$Y$52="Baja",'Mapa final'!$AA$52="Mayor"),CONCATENATE("R8C",'Mapa final'!$O$52),"")</f>
        <v/>
      </c>
      <c r="AC43" s="52" t="str">
        <f>IF(AND('Mapa final'!$Y$53="Baja",'Mapa final'!$AA$53="Mayor"),CONCATENATE("R8C",'Mapa final'!$O$53),"")</f>
        <v/>
      </c>
      <c r="AD43" s="57" t="str">
        <f>IF(AND('Mapa final'!$Y$54="Baja",'Mapa final'!$AA$54="Mayor"),CONCATENATE("R8C",'Mapa final'!$O$54),"")</f>
        <v/>
      </c>
      <c r="AE43" s="57" t="str">
        <f>IF(AND('Mapa final'!$Y$55="Baja",'Mapa final'!$AA$55="Mayor"),CONCATENATE("R8C",'Mapa final'!$O$55),"")</f>
        <v/>
      </c>
      <c r="AF43" s="57"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3"/>
      <c r="AO43" s="519"/>
      <c r="AP43" s="520"/>
      <c r="AQ43" s="520"/>
      <c r="AR43" s="520"/>
      <c r="AS43" s="520"/>
      <c r="AT43" s="521"/>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97"/>
      <c r="C44" s="397"/>
      <c r="D44" s="398"/>
      <c r="E44" s="498"/>
      <c r="F44" s="499"/>
      <c r="G44" s="499"/>
      <c r="H44" s="499"/>
      <c r="I44" s="497"/>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1" t="str">
        <f>IF(AND('Mapa final'!$Y$58="Baja",'Mapa final'!$AA$58="Mayor"),CONCATENATE("R9C",'Mapa final'!$O$58),"")</f>
        <v/>
      </c>
      <c r="AC44" s="52" t="str">
        <f>IF(AND('Mapa final'!$Y$59="Baja",'Mapa final'!$AA$59="Mayor"),CONCATENATE("R9C",'Mapa final'!$O$59),"")</f>
        <v/>
      </c>
      <c r="AD44" s="57" t="str">
        <f>IF(AND('Mapa final'!$Y$60="Baja",'Mapa final'!$AA$60="Mayor"),CONCATENATE("R9C",'Mapa final'!$O$60),"")</f>
        <v/>
      </c>
      <c r="AE44" s="57" t="str">
        <f>IF(AND('Mapa final'!$Y$61="Baja",'Mapa final'!$AA$61="Mayor"),CONCATENATE("R9C",'Mapa final'!$O$61),"")</f>
        <v/>
      </c>
      <c r="AF44" s="57"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3"/>
      <c r="AO44" s="519"/>
      <c r="AP44" s="520"/>
      <c r="AQ44" s="520"/>
      <c r="AR44" s="520"/>
      <c r="AS44" s="520"/>
      <c r="AT44" s="521"/>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97"/>
      <c r="C45" s="397"/>
      <c r="D45" s="398"/>
      <c r="E45" s="500"/>
      <c r="F45" s="501"/>
      <c r="G45" s="501"/>
      <c r="H45" s="501"/>
      <c r="I45" s="501"/>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522"/>
      <c r="AP45" s="523"/>
      <c r="AQ45" s="523"/>
      <c r="AR45" s="523"/>
      <c r="AS45" s="523"/>
      <c r="AT45" s="524"/>
    </row>
    <row r="46" spans="1:80" ht="46.5" customHeight="1" x14ac:dyDescent="0.35">
      <c r="A46" s="83"/>
      <c r="B46" s="397"/>
      <c r="C46" s="397"/>
      <c r="D46" s="398"/>
      <c r="E46" s="494" t="s">
        <v>113</v>
      </c>
      <c r="F46" s="495"/>
      <c r="G46" s="495"/>
      <c r="H46" s="495"/>
      <c r="I46" s="513"/>
      <c r="J46" s="73" t="str">
        <f>IF(AND('Mapa final'!$Y$10="Muy Baja",'Mapa final'!$AA$10="Leve"),CONCATENATE("R1C",'Mapa final'!$O$10),"")</f>
        <v>R1C38</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
      </c>
      <c r="R46" s="74" t="str">
        <f>IF(AND('Mapa final'!$Y$12="Muy Baja",'Mapa final'!$AA$12="Menor"),CONCATENATE("R1C",'Mapa final'!$O$12),"")</f>
        <v/>
      </c>
      <c r="S46" s="74" t="str">
        <f>IF(AND('Mapa final'!$Y$13="Muy Baja",'Mapa final'!$AA$13="Menor"),CONCATENATE("R1C",'Mapa final'!$O$13),"")</f>
        <v/>
      </c>
      <c r="T46" s="74" t="str">
        <f>IF(AND('Mapa final'!$Y$14="Muy Baja",'Mapa final'!$AA$14="Menor"),CONCATENATE("R1C",'Mapa final'!$O$14),"")</f>
        <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
      </c>
      <c r="X46" s="65" t="str">
        <f>IF(AND('Mapa final'!$Y$12="Muy Baja",'Mapa final'!$AA$12="Moderado"),CONCATENATE("R1C",'Mapa final'!$O$12),"")</f>
        <v/>
      </c>
      <c r="Y46" s="65" t="str">
        <f>IF(AND('Mapa final'!$Y$13="Muy Baja",'Mapa final'!$AA$13="Moderado"),CONCATENATE("R1C",'Mapa final'!$O$13),"")</f>
        <v/>
      </c>
      <c r="Z46" s="65" t="str">
        <f>IF(AND('Mapa final'!$Y$14="Muy Baja",'Mapa final'!$AA$14="Moderado"),CONCATENATE("R1C",'Mapa final'!$O$14),"")</f>
        <v/>
      </c>
      <c r="AA46" s="66"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97"/>
      <c r="C47" s="397"/>
      <c r="D47" s="398"/>
      <c r="E47" s="496"/>
      <c r="F47" s="497"/>
      <c r="G47" s="497"/>
      <c r="H47" s="497"/>
      <c r="I47" s="514"/>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
      </c>
      <c r="R47" s="77" t="str">
        <f>IF(AND('Mapa final'!$Y$18="Muy Baja",'Mapa final'!$AA$18="Menor"),CONCATENATE("R2C",'Mapa final'!$O$18),"")</f>
        <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97"/>
      <c r="C48" s="397"/>
      <c r="D48" s="398"/>
      <c r="E48" s="496"/>
      <c r="F48" s="497"/>
      <c r="G48" s="497"/>
      <c r="H48" s="497"/>
      <c r="I48" s="514"/>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
      </c>
      <c r="R48" s="77" t="str">
        <f>IF(AND('Mapa final'!$Y$24="Muy Baja",'Mapa final'!$AA$24="Menor"),CONCATENATE("R3C",'Mapa final'!$O$24),"")</f>
        <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
      </c>
      <c r="Y48" s="68" t="str">
        <f>IF(AND('Mapa final'!$Y$25="Muy Baja",'Mapa final'!$AA$25="Moderado"),CONCATENATE("R3C",'Mapa final'!$O$25),"")</f>
        <v/>
      </c>
      <c r="Z48" s="68" t="str">
        <f>IF(AND('Mapa final'!$Y$26="Muy Baja",'Mapa final'!$AA$26="Moderado"),CONCATENATE("R3C",'Mapa final'!$O$26),"")</f>
        <v/>
      </c>
      <c r="AA48" s="69"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97"/>
      <c r="C49" s="397"/>
      <c r="D49" s="398"/>
      <c r="E49" s="498"/>
      <c r="F49" s="499"/>
      <c r="G49" s="499"/>
      <c r="H49" s="499"/>
      <c r="I49" s="514"/>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97"/>
      <c r="C50" s="397"/>
      <c r="D50" s="398"/>
      <c r="E50" s="498"/>
      <c r="F50" s="499"/>
      <c r="G50" s="499"/>
      <c r="H50" s="499"/>
      <c r="I50" s="514"/>
      <c r="J50" s="76" t="str">
        <f>IF(AND('Mapa final'!$Y$34="Muy Baja",'Mapa final'!$AA$34="Leve"),CONCATENATE("R5C",'Mapa final'!$O$34),"")</f>
        <v>R5C42</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7" t="str">
        <f>IF(AND('Mapa final'!$Y$36="Muy Baja",'Mapa final'!$AA$36="Mayor"),CONCATENATE("R5C",'Mapa final'!$O$36),"")</f>
        <v/>
      </c>
      <c r="AE50" s="57" t="str">
        <f>IF(AND('Mapa final'!$Y$37="Muy Baja",'Mapa final'!$AA$37="Mayor"),CONCATENATE("R5C",'Mapa final'!$O$37),"")</f>
        <v/>
      </c>
      <c r="AF50" s="57"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97"/>
      <c r="C51" s="397"/>
      <c r="D51" s="398"/>
      <c r="E51" s="498"/>
      <c r="F51" s="499"/>
      <c r="G51" s="499"/>
      <c r="H51" s="499"/>
      <c r="I51" s="514"/>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7" t="str">
        <f>IF(AND('Mapa final'!$Y$42="Muy Baja",'Mapa final'!$AA$42="Mayor"),CONCATENATE("R6C",'Mapa final'!$O$42),"")</f>
        <v/>
      </c>
      <c r="AE51" s="57" t="str">
        <f>IF(AND('Mapa final'!$Y$43="Muy Baja",'Mapa final'!$AA$43="Mayor"),CONCATENATE("R6C",'Mapa final'!$O$43),"")</f>
        <v/>
      </c>
      <c r="AF51" s="57"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97"/>
      <c r="C52" s="397"/>
      <c r="D52" s="398"/>
      <c r="E52" s="498"/>
      <c r="F52" s="499"/>
      <c r="G52" s="499"/>
      <c r="H52" s="499"/>
      <c r="I52" s="514"/>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7" t="str">
        <f>IF(AND('Mapa final'!$Y$48="Muy Baja",'Mapa final'!$AA$48="Mayor"),CONCATENATE("R7C",'Mapa final'!$O$48),"")</f>
        <v/>
      </c>
      <c r="AE52" s="57" t="str">
        <f>IF(AND('Mapa final'!$Y$49="Muy Baja",'Mapa final'!$AA$49="Mayor"),CONCATENATE("R7C",'Mapa final'!$O$49),"")</f>
        <v/>
      </c>
      <c r="AF52" s="57"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97"/>
      <c r="C53" s="397"/>
      <c r="D53" s="398"/>
      <c r="E53" s="498"/>
      <c r="F53" s="499"/>
      <c r="G53" s="499"/>
      <c r="H53" s="499"/>
      <c r="I53" s="514"/>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7" t="str">
        <f>IF(AND('Mapa final'!$Y$54="Muy Baja",'Mapa final'!$AA$54="Mayor"),CONCATENATE("R8C",'Mapa final'!$O$54),"")</f>
        <v/>
      </c>
      <c r="AE53" s="57" t="str">
        <f>IF(AND('Mapa final'!$Y$55="Muy Baja",'Mapa final'!$AA$55="Mayor"),CONCATENATE("R8C",'Mapa final'!$O$55),"")</f>
        <v/>
      </c>
      <c r="AF53" s="57"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97"/>
      <c r="C54" s="397"/>
      <c r="D54" s="398"/>
      <c r="E54" s="498"/>
      <c r="F54" s="499"/>
      <c r="G54" s="499"/>
      <c r="H54" s="499"/>
      <c r="I54" s="514"/>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7" t="str">
        <f>IF(AND('Mapa final'!$Y$60="Muy Baja",'Mapa final'!$AA$60="Mayor"),CONCATENATE("R9C",'Mapa final'!$O$60),"")</f>
        <v/>
      </c>
      <c r="AE54" s="57" t="str">
        <f>IF(AND('Mapa final'!$Y$61="Muy Baja",'Mapa final'!$AA$61="Mayor"),CONCATENATE("R9C",'Mapa final'!$O$61),"")</f>
        <v/>
      </c>
      <c r="AF54" s="57"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97"/>
      <c r="C55" s="397"/>
      <c r="D55" s="398"/>
      <c r="E55" s="500"/>
      <c r="F55" s="501"/>
      <c r="G55" s="501"/>
      <c r="H55" s="501"/>
      <c r="I55" s="515"/>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94" t="s">
        <v>112</v>
      </c>
      <c r="K56" s="495"/>
      <c r="L56" s="495"/>
      <c r="M56" s="495"/>
      <c r="N56" s="495"/>
      <c r="O56" s="513"/>
      <c r="P56" s="494" t="s">
        <v>111</v>
      </c>
      <c r="Q56" s="495"/>
      <c r="R56" s="495"/>
      <c r="S56" s="495"/>
      <c r="T56" s="495"/>
      <c r="U56" s="513"/>
      <c r="V56" s="494" t="s">
        <v>110</v>
      </c>
      <c r="W56" s="495"/>
      <c r="X56" s="495"/>
      <c r="Y56" s="495"/>
      <c r="Z56" s="495"/>
      <c r="AA56" s="513"/>
      <c r="AB56" s="494" t="s">
        <v>109</v>
      </c>
      <c r="AC56" s="534"/>
      <c r="AD56" s="495"/>
      <c r="AE56" s="495"/>
      <c r="AF56" s="495"/>
      <c r="AG56" s="513"/>
      <c r="AH56" s="494" t="s">
        <v>108</v>
      </c>
      <c r="AI56" s="495"/>
      <c r="AJ56" s="495"/>
      <c r="AK56" s="495"/>
      <c r="AL56" s="495"/>
      <c r="AM56" s="51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98"/>
      <c r="K57" s="499"/>
      <c r="L57" s="499"/>
      <c r="M57" s="499"/>
      <c r="N57" s="499"/>
      <c r="O57" s="514"/>
      <c r="P57" s="498"/>
      <c r="Q57" s="499"/>
      <c r="R57" s="499"/>
      <c r="S57" s="499"/>
      <c r="T57" s="499"/>
      <c r="U57" s="514"/>
      <c r="V57" s="498"/>
      <c r="W57" s="499"/>
      <c r="X57" s="499"/>
      <c r="Y57" s="499"/>
      <c r="Z57" s="499"/>
      <c r="AA57" s="514"/>
      <c r="AB57" s="498"/>
      <c r="AC57" s="499"/>
      <c r="AD57" s="499"/>
      <c r="AE57" s="499"/>
      <c r="AF57" s="499"/>
      <c r="AG57" s="514"/>
      <c r="AH57" s="498"/>
      <c r="AI57" s="499"/>
      <c r="AJ57" s="499"/>
      <c r="AK57" s="499"/>
      <c r="AL57" s="499"/>
      <c r="AM57" s="51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98"/>
      <c r="K58" s="499"/>
      <c r="L58" s="499"/>
      <c r="M58" s="499"/>
      <c r="N58" s="499"/>
      <c r="O58" s="514"/>
      <c r="P58" s="498"/>
      <c r="Q58" s="499"/>
      <c r="R58" s="499"/>
      <c r="S58" s="499"/>
      <c r="T58" s="499"/>
      <c r="U58" s="514"/>
      <c r="V58" s="498"/>
      <c r="W58" s="499"/>
      <c r="X58" s="499"/>
      <c r="Y58" s="499"/>
      <c r="Z58" s="499"/>
      <c r="AA58" s="514"/>
      <c r="AB58" s="498"/>
      <c r="AC58" s="499"/>
      <c r="AD58" s="499"/>
      <c r="AE58" s="499"/>
      <c r="AF58" s="499"/>
      <c r="AG58" s="514"/>
      <c r="AH58" s="498"/>
      <c r="AI58" s="499"/>
      <c r="AJ58" s="499"/>
      <c r="AK58" s="499"/>
      <c r="AL58" s="499"/>
      <c r="AM58" s="51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98"/>
      <c r="K59" s="499"/>
      <c r="L59" s="499"/>
      <c r="M59" s="499"/>
      <c r="N59" s="499"/>
      <c r="O59" s="514"/>
      <c r="P59" s="498"/>
      <c r="Q59" s="499"/>
      <c r="R59" s="499"/>
      <c r="S59" s="499"/>
      <c r="T59" s="499"/>
      <c r="U59" s="514"/>
      <c r="V59" s="498"/>
      <c r="W59" s="499"/>
      <c r="X59" s="499"/>
      <c r="Y59" s="499"/>
      <c r="Z59" s="499"/>
      <c r="AA59" s="514"/>
      <c r="AB59" s="498"/>
      <c r="AC59" s="499"/>
      <c r="AD59" s="499"/>
      <c r="AE59" s="499"/>
      <c r="AF59" s="499"/>
      <c r="AG59" s="514"/>
      <c r="AH59" s="498"/>
      <c r="AI59" s="499"/>
      <c r="AJ59" s="499"/>
      <c r="AK59" s="499"/>
      <c r="AL59" s="499"/>
      <c r="AM59" s="51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98"/>
      <c r="K60" s="499"/>
      <c r="L60" s="499"/>
      <c r="M60" s="499"/>
      <c r="N60" s="499"/>
      <c r="O60" s="514"/>
      <c r="P60" s="498"/>
      <c r="Q60" s="499"/>
      <c r="R60" s="499"/>
      <c r="S60" s="499"/>
      <c r="T60" s="499"/>
      <c r="U60" s="514"/>
      <c r="V60" s="498"/>
      <c r="W60" s="499"/>
      <c r="X60" s="499"/>
      <c r="Y60" s="499"/>
      <c r="Z60" s="499"/>
      <c r="AA60" s="514"/>
      <c r="AB60" s="498"/>
      <c r="AC60" s="499"/>
      <c r="AD60" s="499"/>
      <c r="AE60" s="499"/>
      <c r="AF60" s="499"/>
      <c r="AG60" s="514"/>
      <c r="AH60" s="498"/>
      <c r="AI60" s="499"/>
      <c r="AJ60" s="499"/>
      <c r="AK60" s="499"/>
      <c r="AL60" s="499"/>
      <c r="AM60" s="51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0"/>
      <c r="K61" s="501"/>
      <c r="L61" s="501"/>
      <c r="M61" s="501"/>
      <c r="N61" s="501"/>
      <c r="O61" s="515"/>
      <c r="P61" s="500"/>
      <c r="Q61" s="501"/>
      <c r="R61" s="501"/>
      <c r="S61" s="501"/>
      <c r="T61" s="501"/>
      <c r="U61" s="515"/>
      <c r="V61" s="500"/>
      <c r="W61" s="501"/>
      <c r="X61" s="501"/>
      <c r="Y61" s="501"/>
      <c r="Z61" s="501"/>
      <c r="AA61" s="515"/>
      <c r="AB61" s="500"/>
      <c r="AC61" s="501"/>
      <c r="AD61" s="501"/>
      <c r="AE61" s="501"/>
      <c r="AF61" s="501"/>
      <c r="AG61" s="515"/>
      <c r="AH61" s="500"/>
      <c r="AI61" s="501"/>
      <c r="AJ61" s="501"/>
      <c r="AK61" s="501"/>
      <c r="AL61" s="501"/>
      <c r="AM61" s="51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535" t="s">
        <v>55</v>
      </c>
      <c r="C1" s="535"/>
      <c r="D1" s="535"/>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0"/>
      <c r="C3" s="11" t="s">
        <v>52</v>
      </c>
      <c r="D3" s="11"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2" t="s">
        <v>51</v>
      </c>
      <c r="C4" s="13" t="s">
        <v>102</v>
      </c>
      <c r="D4" s="14">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5" t="s">
        <v>53</v>
      </c>
      <c r="C5" s="16" t="s">
        <v>103</v>
      </c>
      <c r="D5" s="17">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8" t="s">
        <v>107</v>
      </c>
      <c r="C6" s="16" t="s">
        <v>104</v>
      </c>
      <c r="D6" s="17">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19" t="s">
        <v>6</v>
      </c>
      <c r="C7" s="16" t="s">
        <v>105</v>
      </c>
      <c r="D7" s="17">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0" t="s">
        <v>54</v>
      </c>
      <c r="C8" s="16" t="s">
        <v>106</v>
      </c>
      <c r="D8" s="17">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36" t="s">
        <v>63</v>
      </c>
      <c r="C1" s="536"/>
      <c r="D1" s="536"/>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5" t="s">
        <v>56</v>
      </c>
      <c r="D3" s="35" t="s">
        <v>57</v>
      </c>
      <c r="E3" s="83"/>
      <c r="F3" s="83"/>
      <c r="G3" s="83"/>
      <c r="H3" s="83"/>
      <c r="I3" s="83"/>
      <c r="J3" s="83"/>
      <c r="K3" s="83"/>
      <c r="L3" s="83"/>
      <c r="M3" s="83"/>
      <c r="N3" s="83"/>
      <c r="O3" s="83"/>
      <c r="P3" s="83"/>
      <c r="Q3" s="83"/>
      <c r="R3" s="83"/>
      <c r="S3" s="83"/>
      <c r="T3" s="83"/>
      <c r="U3" s="83"/>
    </row>
    <row r="4" spans="1:21" ht="33.75" x14ac:dyDescent="0.25">
      <c r="A4" s="103" t="s">
        <v>83</v>
      </c>
      <c r="B4" s="38" t="s">
        <v>101</v>
      </c>
      <c r="C4" s="43" t="s">
        <v>158</v>
      </c>
      <c r="D4" s="36" t="s">
        <v>97</v>
      </c>
      <c r="E4" s="83"/>
      <c r="F4" s="83"/>
      <c r="G4" s="83"/>
      <c r="H4" s="83"/>
      <c r="I4" s="83"/>
      <c r="J4" s="83"/>
      <c r="K4" s="83"/>
      <c r="L4" s="83"/>
      <c r="M4" s="83"/>
      <c r="N4" s="83"/>
      <c r="O4" s="83"/>
      <c r="P4" s="83"/>
      <c r="Q4" s="83"/>
      <c r="R4" s="83"/>
      <c r="S4" s="83"/>
      <c r="T4" s="83"/>
      <c r="U4" s="83"/>
    </row>
    <row r="5" spans="1:21" ht="67.5" x14ac:dyDescent="0.25">
      <c r="A5" s="103" t="s">
        <v>84</v>
      </c>
      <c r="B5" s="39" t="s">
        <v>59</v>
      </c>
      <c r="C5" s="44" t="s">
        <v>93</v>
      </c>
      <c r="D5" s="37" t="s">
        <v>98</v>
      </c>
      <c r="E5" s="83"/>
      <c r="F5" s="83"/>
      <c r="G5" s="83"/>
      <c r="H5" s="83"/>
      <c r="I5" s="83"/>
      <c r="J5" s="83"/>
      <c r="K5" s="83"/>
      <c r="L5" s="83"/>
      <c r="M5" s="83"/>
      <c r="N5" s="83"/>
      <c r="O5" s="83"/>
      <c r="P5" s="83"/>
      <c r="Q5" s="83"/>
      <c r="R5" s="83"/>
      <c r="S5" s="83"/>
      <c r="T5" s="83"/>
      <c r="U5" s="83"/>
    </row>
    <row r="6" spans="1:21" ht="67.5" x14ac:dyDescent="0.25">
      <c r="A6" s="103" t="s">
        <v>81</v>
      </c>
      <c r="B6" s="40" t="s">
        <v>60</v>
      </c>
      <c r="C6" s="44" t="s">
        <v>94</v>
      </c>
      <c r="D6" s="37" t="s">
        <v>100</v>
      </c>
      <c r="E6" s="83"/>
      <c r="F6" s="83"/>
      <c r="G6" s="83"/>
      <c r="H6" s="83"/>
      <c r="I6" s="83"/>
      <c r="J6" s="83"/>
      <c r="K6" s="83"/>
      <c r="L6" s="83"/>
      <c r="M6" s="83"/>
      <c r="N6" s="83"/>
      <c r="O6" s="83"/>
      <c r="P6" s="83"/>
      <c r="Q6" s="83"/>
      <c r="R6" s="83"/>
      <c r="S6" s="83"/>
      <c r="T6" s="83"/>
      <c r="U6" s="83"/>
    </row>
    <row r="7" spans="1:21" ht="101.25" x14ac:dyDescent="0.25">
      <c r="A7" s="103" t="s">
        <v>7</v>
      </c>
      <c r="B7" s="41" t="s">
        <v>61</v>
      </c>
      <c r="C7" s="44" t="s">
        <v>95</v>
      </c>
      <c r="D7" s="37" t="s">
        <v>99</v>
      </c>
      <c r="E7" s="83"/>
      <c r="F7" s="83"/>
      <c r="G7" s="83"/>
      <c r="H7" s="83"/>
      <c r="I7" s="83"/>
      <c r="J7" s="83"/>
      <c r="K7" s="83"/>
      <c r="L7" s="83"/>
      <c r="M7" s="83"/>
      <c r="N7" s="83"/>
      <c r="O7" s="83"/>
      <c r="P7" s="83"/>
      <c r="Q7" s="83"/>
      <c r="R7" s="83"/>
      <c r="S7" s="83"/>
      <c r="T7" s="83"/>
      <c r="U7" s="83"/>
    </row>
    <row r="8" spans="1:21" ht="67.5" x14ac:dyDescent="0.25">
      <c r="A8" s="103" t="s">
        <v>85</v>
      </c>
      <c r="B8" s="42" t="s">
        <v>62</v>
      </c>
      <c r="C8" s="44" t="s">
        <v>96</v>
      </c>
      <c r="D8" s="37"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2"/>
      <c r="C52" s="33"/>
      <c r="D52" s="33"/>
    </row>
    <row r="53" spans="1:15" ht="20.25" x14ac:dyDescent="0.25">
      <c r="A53" s="103"/>
      <c r="B53" s="22"/>
      <c r="C53" s="33"/>
      <c r="D53" s="33"/>
    </row>
    <row r="54" spans="1:15" ht="20.25" x14ac:dyDescent="0.25">
      <c r="A54" s="103"/>
      <c r="B54" s="22"/>
      <c r="C54" s="33"/>
      <c r="D54" s="33"/>
    </row>
    <row r="55" spans="1:15" ht="20.25" x14ac:dyDescent="0.25">
      <c r="A55" s="103"/>
      <c r="B55" s="22"/>
      <c r="C55" s="33"/>
      <c r="D55" s="33"/>
    </row>
    <row r="56" spans="1:15" ht="20.25" x14ac:dyDescent="0.25">
      <c r="A56" s="103"/>
      <c r="B56" s="22"/>
      <c r="C56" s="33"/>
      <c r="D56" s="33"/>
    </row>
    <row r="57" spans="1:15" ht="20.25" x14ac:dyDescent="0.25">
      <c r="A57" s="103"/>
      <c r="B57" s="22"/>
      <c r="C57" s="33"/>
      <c r="D57" s="33"/>
    </row>
    <row r="58" spans="1:15" ht="20.25" x14ac:dyDescent="0.25">
      <c r="A58" s="103"/>
      <c r="B58" s="22"/>
      <c r="C58" s="33"/>
      <c r="D58" s="33"/>
    </row>
    <row r="59" spans="1:15" ht="20.25" x14ac:dyDescent="0.25">
      <c r="A59" s="103"/>
      <c r="B59" s="22"/>
      <c r="C59" s="33"/>
      <c r="D59" s="33"/>
    </row>
    <row r="60" spans="1:15" ht="20.25" x14ac:dyDescent="0.25">
      <c r="A60" s="103"/>
      <c r="B60" s="22"/>
      <c r="C60" s="33"/>
      <c r="D60" s="33"/>
    </row>
    <row r="61" spans="1:15" ht="20.25" x14ac:dyDescent="0.25">
      <c r="A61" s="103"/>
      <c r="B61" s="22"/>
      <c r="C61" s="33"/>
      <c r="D61" s="33"/>
    </row>
    <row r="62" spans="1:15" ht="20.25" x14ac:dyDescent="0.25">
      <c r="A62" s="103"/>
      <c r="B62" s="22"/>
      <c r="C62" s="33"/>
      <c r="D62" s="33"/>
    </row>
    <row r="63" spans="1:15" ht="20.25" x14ac:dyDescent="0.25">
      <c r="A63" s="103"/>
      <c r="B63" s="22"/>
      <c r="C63" s="33"/>
      <c r="D63" s="33"/>
    </row>
    <row r="64" spans="1:15" ht="20.25" x14ac:dyDescent="0.25">
      <c r="A64" s="103"/>
      <c r="B64" s="22"/>
      <c r="C64" s="33"/>
      <c r="D64" s="33"/>
    </row>
    <row r="65" spans="1:4" ht="20.25" x14ac:dyDescent="0.25">
      <c r="A65" s="103"/>
      <c r="B65" s="22"/>
      <c r="C65" s="33"/>
      <c r="D65" s="33"/>
    </row>
    <row r="66" spans="1:4" ht="20.25" x14ac:dyDescent="0.25">
      <c r="A66" s="103"/>
      <c r="B66" s="22"/>
      <c r="C66" s="33"/>
      <c r="D66" s="33"/>
    </row>
    <row r="67" spans="1:4" ht="20.25" x14ac:dyDescent="0.25">
      <c r="A67" s="103"/>
      <c r="B67" s="22"/>
      <c r="C67" s="33"/>
      <c r="D67" s="33"/>
    </row>
    <row r="68" spans="1:4" ht="20.25" x14ac:dyDescent="0.25">
      <c r="A68" s="103"/>
      <c r="B68" s="22"/>
      <c r="C68" s="33"/>
      <c r="D68" s="33"/>
    </row>
    <row r="69" spans="1:4" ht="20.25" x14ac:dyDescent="0.25">
      <c r="A69" s="103"/>
      <c r="B69" s="22"/>
      <c r="C69" s="33"/>
      <c r="D69" s="33"/>
    </row>
    <row r="70" spans="1:4" ht="20.25" x14ac:dyDescent="0.25">
      <c r="A70" s="103"/>
      <c r="B70" s="22"/>
      <c r="C70" s="33"/>
      <c r="D70" s="33"/>
    </row>
    <row r="71" spans="1:4" ht="20.25" x14ac:dyDescent="0.25">
      <c r="A71" s="103"/>
      <c r="B71" s="22"/>
      <c r="C71" s="33"/>
      <c r="D71" s="33"/>
    </row>
    <row r="72" spans="1:4" ht="20.25" x14ac:dyDescent="0.25">
      <c r="A72" s="103"/>
      <c r="B72" s="22"/>
      <c r="C72" s="33"/>
      <c r="D72" s="33"/>
    </row>
    <row r="73" spans="1:4" ht="20.25" x14ac:dyDescent="0.25">
      <c r="A73" s="103"/>
      <c r="B73" s="22"/>
      <c r="C73" s="33"/>
      <c r="D73" s="33"/>
    </row>
    <row r="74" spans="1:4" ht="20.25" x14ac:dyDescent="0.25">
      <c r="A74" s="103"/>
      <c r="B74" s="22"/>
      <c r="C74" s="33"/>
      <c r="D74" s="33"/>
    </row>
    <row r="75" spans="1:4" ht="20.25" x14ac:dyDescent="0.25">
      <c r="A75" s="103"/>
      <c r="B75" s="22"/>
      <c r="C75" s="33"/>
      <c r="D75" s="33"/>
    </row>
    <row r="76" spans="1:4" ht="20.25" x14ac:dyDescent="0.25">
      <c r="A76" s="103"/>
      <c r="B76" s="22"/>
      <c r="C76" s="33"/>
      <c r="D76" s="33"/>
    </row>
    <row r="77" spans="1:4" ht="20.25" x14ac:dyDescent="0.25">
      <c r="A77" s="103"/>
      <c r="B77" s="22"/>
      <c r="C77" s="33"/>
      <c r="D77" s="33"/>
    </row>
    <row r="78" spans="1:4" ht="20.25" x14ac:dyDescent="0.25">
      <c r="A78" s="103"/>
      <c r="B78" s="22"/>
      <c r="C78" s="33"/>
      <c r="D78" s="33"/>
    </row>
    <row r="79" spans="1:4" ht="20.25" x14ac:dyDescent="0.25">
      <c r="A79" s="103"/>
      <c r="B79" s="22"/>
      <c r="C79" s="33"/>
      <c r="D79" s="33"/>
    </row>
    <row r="80" spans="1:4" ht="20.25" x14ac:dyDescent="0.25">
      <c r="A80" s="103"/>
      <c r="B80" s="22"/>
      <c r="C80" s="33"/>
      <c r="D80" s="33"/>
    </row>
    <row r="81" spans="1:4" ht="20.25" x14ac:dyDescent="0.25">
      <c r="A81" s="103"/>
      <c r="B81" s="22"/>
      <c r="C81" s="33"/>
      <c r="D81" s="33"/>
    </row>
    <row r="82" spans="1:4" ht="20.25" x14ac:dyDescent="0.25">
      <c r="A82" s="103"/>
      <c r="B82" s="22"/>
      <c r="C82" s="33"/>
      <c r="D82" s="33"/>
    </row>
    <row r="83" spans="1:4" ht="20.25" x14ac:dyDescent="0.25">
      <c r="A83" s="103"/>
      <c r="B83" s="22"/>
      <c r="C83" s="33"/>
      <c r="D83" s="33"/>
    </row>
    <row r="84" spans="1:4" ht="20.25" x14ac:dyDescent="0.25">
      <c r="A84" s="103"/>
      <c r="B84" s="22"/>
      <c r="C84" s="33"/>
      <c r="D84" s="33"/>
    </row>
    <row r="85" spans="1:4" ht="20.25" x14ac:dyDescent="0.25">
      <c r="A85" s="103"/>
      <c r="B85" s="22"/>
      <c r="C85" s="33"/>
      <c r="D85" s="33"/>
    </row>
    <row r="86" spans="1:4" ht="20.25" x14ac:dyDescent="0.25">
      <c r="A86" s="103"/>
      <c r="B86" s="22"/>
      <c r="C86" s="33"/>
      <c r="D86" s="33"/>
    </row>
    <row r="87" spans="1:4" ht="20.25" x14ac:dyDescent="0.25">
      <c r="A87" s="103"/>
      <c r="B87" s="22"/>
      <c r="C87" s="33"/>
      <c r="D87" s="33"/>
    </row>
    <row r="88" spans="1:4" ht="20.25" x14ac:dyDescent="0.25">
      <c r="A88" s="103"/>
      <c r="B88" s="22"/>
      <c r="C88" s="33"/>
      <c r="D88" s="33"/>
    </row>
    <row r="89" spans="1:4" ht="20.25" x14ac:dyDescent="0.25">
      <c r="A89" s="103"/>
      <c r="B89" s="22"/>
      <c r="C89" s="33"/>
      <c r="D89" s="33"/>
    </row>
    <row r="90" spans="1:4" ht="20.25" x14ac:dyDescent="0.25">
      <c r="A90" s="103"/>
      <c r="B90" s="22"/>
      <c r="C90" s="33"/>
      <c r="D90" s="33"/>
    </row>
    <row r="91" spans="1:4" ht="20.25" x14ac:dyDescent="0.25">
      <c r="A91" s="103"/>
      <c r="B91" s="22"/>
      <c r="C91" s="33"/>
      <c r="D91" s="33"/>
    </row>
    <row r="92" spans="1:4" ht="20.25" x14ac:dyDescent="0.25">
      <c r="A92" s="103"/>
      <c r="B92" s="22"/>
      <c r="C92" s="33"/>
      <c r="D92" s="33"/>
    </row>
    <row r="93" spans="1:4" ht="20.25" x14ac:dyDescent="0.25">
      <c r="A93" s="103"/>
      <c r="B93" s="22"/>
      <c r="C93" s="33"/>
      <c r="D93" s="33"/>
    </row>
    <row r="94" spans="1:4" ht="20.25" x14ac:dyDescent="0.25">
      <c r="A94" s="103"/>
      <c r="B94" s="22"/>
      <c r="C94" s="33"/>
      <c r="D94" s="33"/>
    </row>
    <row r="95" spans="1:4" ht="20.25" x14ac:dyDescent="0.25">
      <c r="A95" s="103"/>
      <c r="B95" s="22"/>
      <c r="C95" s="33"/>
      <c r="D95" s="33"/>
    </row>
    <row r="96" spans="1:4" ht="20.25" x14ac:dyDescent="0.25">
      <c r="A96" s="103"/>
      <c r="B96" s="22"/>
      <c r="C96" s="33"/>
      <c r="D96" s="33"/>
    </row>
    <row r="97" spans="1:4" ht="20.25" x14ac:dyDescent="0.25">
      <c r="A97" s="103"/>
      <c r="B97" s="22"/>
      <c r="C97" s="33"/>
      <c r="D97" s="33"/>
    </row>
    <row r="98" spans="1:4" ht="20.25" x14ac:dyDescent="0.25">
      <c r="A98" s="103"/>
      <c r="B98" s="22"/>
      <c r="C98" s="33"/>
      <c r="D98" s="33"/>
    </row>
    <row r="99" spans="1:4" ht="20.25" x14ac:dyDescent="0.25">
      <c r="A99" s="103"/>
      <c r="B99" s="22"/>
      <c r="C99" s="33"/>
      <c r="D99" s="33"/>
    </row>
    <row r="100" spans="1:4" ht="20.25" x14ac:dyDescent="0.25">
      <c r="A100" s="103"/>
      <c r="B100" s="22"/>
      <c r="C100" s="33"/>
      <c r="D100" s="33"/>
    </row>
    <row r="101" spans="1:4" ht="20.25" x14ac:dyDescent="0.25">
      <c r="A101" s="103"/>
      <c r="B101" s="22"/>
      <c r="C101" s="33"/>
      <c r="D101" s="33"/>
    </row>
    <row r="102" spans="1:4" ht="20.25" x14ac:dyDescent="0.25">
      <c r="A102" s="103"/>
      <c r="B102" s="22"/>
      <c r="C102" s="33"/>
      <c r="D102" s="33"/>
    </row>
    <row r="103" spans="1:4" ht="20.25" x14ac:dyDescent="0.25">
      <c r="A103" s="103"/>
      <c r="B103" s="22"/>
      <c r="C103" s="33"/>
      <c r="D103" s="33"/>
    </row>
    <row r="104" spans="1:4" ht="20.25" x14ac:dyDescent="0.25">
      <c r="A104" s="103"/>
      <c r="B104" s="22"/>
      <c r="C104" s="33"/>
      <c r="D104" s="33"/>
    </row>
    <row r="105" spans="1:4" ht="20.25" x14ac:dyDescent="0.25">
      <c r="A105" s="103"/>
      <c r="B105" s="22"/>
      <c r="C105" s="33"/>
      <c r="D105" s="33"/>
    </row>
    <row r="106" spans="1:4" ht="20.25" x14ac:dyDescent="0.25">
      <c r="A106" s="103"/>
      <c r="B106" s="22"/>
      <c r="C106" s="33"/>
      <c r="D106" s="33"/>
    </row>
    <row r="107" spans="1:4" ht="20.25" x14ac:dyDescent="0.25">
      <c r="A107" s="103"/>
      <c r="B107" s="22"/>
      <c r="C107" s="33"/>
      <c r="D107" s="33"/>
    </row>
    <row r="108" spans="1:4" ht="20.25" x14ac:dyDescent="0.25">
      <c r="A108" s="103"/>
      <c r="B108" s="22"/>
      <c r="C108" s="33"/>
      <c r="D108" s="33"/>
    </row>
    <row r="109" spans="1:4" ht="20.25" x14ac:dyDescent="0.25">
      <c r="A109" s="103"/>
      <c r="B109" s="22"/>
      <c r="C109" s="33"/>
      <c r="D109" s="33"/>
    </row>
    <row r="110" spans="1:4" ht="20.25" x14ac:dyDescent="0.25">
      <c r="A110" s="103"/>
      <c r="B110" s="22"/>
      <c r="C110" s="33"/>
      <c r="D110" s="33"/>
    </row>
    <row r="111" spans="1:4" ht="20.25" x14ac:dyDescent="0.25">
      <c r="A111" s="103"/>
      <c r="B111" s="22"/>
      <c r="C111" s="33"/>
      <c r="D111" s="33"/>
    </row>
    <row r="112" spans="1:4" ht="20.25" x14ac:dyDescent="0.25">
      <c r="A112" s="103"/>
      <c r="B112" s="22"/>
      <c r="C112" s="33"/>
      <c r="D112" s="33"/>
    </row>
    <row r="113" spans="1:4" ht="20.25" x14ac:dyDescent="0.25">
      <c r="A113" s="103"/>
      <c r="B113" s="22"/>
      <c r="C113" s="33"/>
      <c r="D113" s="33"/>
    </row>
    <row r="114" spans="1:4" ht="20.25" x14ac:dyDescent="0.25">
      <c r="A114" s="103"/>
      <c r="B114" s="22"/>
      <c r="C114" s="33"/>
      <c r="D114" s="33"/>
    </row>
    <row r="115" spans="1:4" ht="20.25" x14ac:dyDescent="0.25">
      <c r="A115" s="103"/>
      <c r="B115" s="22"/>
      <c r="C115" s="33"/>
      <c r="D115" s="33"/>
    </row>
    <row r="116" spans="1:4" ht="20.25" x14ac:dyDescent="0.25">
      <c r="A116" s="103"/>
      <c r="B116" s="22"/>
      <c r="C116" s="33"/>
      <c r="D116" s="33"/>
    </row>
    <row r="117" spans="1:4" ht="20.25" x14ac:dyDescent="0.25">
      <c r="A117" s="103"/>
      <c r="B117" s="22"/>
      <c r="C117" s="33"/>
      <c r="D117" s="33"/>
    </row>
    <row r="118" spans="1:4" ht="20.25" x14ac:dyDescent="0.25">
      <c r="A118" s="103"/>
      <c r="B118" s="22"/>
      <c r="C118" s="33"/>
      <c r="D118" s="33"/>
    </row>
    <row r="119" spans="1:4" ht="20.25" x14ac:dyDescent="0.25">
      <c r="A119" s="103"/>
      <c r="B119" s="22"/>
      <c r="C119" s="33"/>
      <c r="D119" s="33"/>
    </row>
    <row r="120" spans="1:4" ht="20.25" x14ac:dyDescent="0.25">
      <c r="A120" s="103"/>
      <c r="B120" s="22"/>
      <c r="C120" s="33"/>
      <c r="D120" s="33"/>
    </row>
    <row r="121" spans="1:4" ht="20.25" x14ac:dyDescent="0.25">
      <c r="A121" s="103"/>
      <c r="B121" s="22"/>
      <c r="C121" s="33"/>
      <c r="D121" s="33"/>
    </row>
    <row r="122" spans="1:4" ht="20.25" x14ac:dyDescent="0.25">
      <c r="A122" s="103"/>
      <c r="B122" s="22"/>
      <c r="C122" s="33"/>
      <c r="D122" s="33"/>
    </row>
    <row r="123" spans="1:4" ht="20.25" x14ac:dyDescent="0.25">
      <c r="A123" s="103"/>
      <c r="B123" s="22"/>
      <c r="C123" s="33"/>
      <c r="D123" s="33"/>
    </row>
    <row r="124" spans="1:4" ht="20.25" x14ac:dyDescent="0.25">
      <c r="A124" s="103"/>
      <c r="B124" s="22"/>
      <c r="C124" s="33"/>
      <c r="D124" s="33"/>
    </row>
    <row r="125" spans="1:4" ht="20.25" x14ac:dyDescent="0.25">
      <c r="A125" s="103"/>
      <c r="B125" s="22"/>
      <c r="C125" s="33"/>
      <c r="D125" s="33"/>
    </row>
    <row r="126" spans="1:4" ht="20.25" x14ac:dyDescent="0.25">
      <c r="A126" s="103"/>
      <c r="B126" s="22"/>
      <c r="C126" s="33"/>
      <c r="D126" s="33"/>
    </row>
    <row r="127" spans="1:4" ht="20.25" x14ac:dyDescent="0.25">
      <c r="A127" s="103"/>
      <c r="B127" s="22"/>
      <c r="C127" s="33"/>
      <c r="D127" s="33"/>
    </row>
    <row r="128" spans="1:4" ht="20.25" x14ac:dyDescent="0.25">
      <c r="A128" s="103"/>
      <c r="B128" s="22"/>
      <c r="C128" s="33"/>
      <c r="D128" s="33"/>
    </row>
    <row r="129" spans="1:4" ht="20.25" x14ac:dyDescent="0.25">
      <c r="A129" s="103"/>
      <c r="B129" s="22"/>
      <c r="C129" s="33"/>
      <c r="D129" s="33"/>
    </row>
    <row r="130" spans="1:4" ht="20.25" x14ac:dyDescent="0.25">
      <c r="A130" s="103"/>
      <c r="B130" s="22"/>
      <c r="C130" s="33"/>
      <c r="D130" s="33"/>
    </row>
    <row r="131" spans="1:4" ht="20.25" x14ac:dyDescent="0.25">
      <c r="A131" s="103"/>
      <c r="B131" s="22"/>
      <c r="C131" s="33"/>
      <c r="D131" s="33"/>
    </row>
    <row r="132" spans="1:4" ht="20.25" x14ac:dyDescent="0.25">
      <c r="A132" s="103"/>
      <c r="B132" s="22"/>
      <c r="C132" s="33"/>
      <c r="D132" s="33"/>
    </row>
    <row r="133" spans="1:4" ht="20.25" x14ac:dyDescent="0.25">
      <c r="A133" s="103"/>
      <c r="B133" s="22"/>
      <c r="C133" s="33"/>
      <c r="D133" s="33"/>
    </row>
    <row r="134" spans="1:4" ht="20.25" x14ac:dyDescent="0.25">
      <c r="A134" s="103"/>
      <c r="B134" s="22"/>
      <c r="C134" s="33"/>
      <c r="D134" s="33"/>
    </row>
    <row r="135" spans="1:4" ht="20.25" x14ac:dyDescent="0.25">
      <c r="A135" s="103"/>
      <c r="B135" s="22"/>
      <c r="C135" s="33"/>
      <c r="D135" s="33"/>
    </row>
    <row r="136" spans="1:4" ht="20.25" x14ac:dyDescent="0.25">
      <c r="A136" s="103"/>
      <c r="B136" s="22"/>
      <c r="C136" s="33"/>
      <c r="D136" s="33"/>
    </row>
    <row r="137" spans="1:4" ht="20.25" x14ac:dyDescent="0.25">
      <c r="A137" s="103"/>
      <c r="B137" s="22"/>
      <c r="C137" s="33"/>
      <c r="D137" s="33"/>
    </row>
    <row r="138" spans="1:4" ht="20.25" x14ac:dyDescent="0.25">
      <c r="A138" s="103"/>
      <c r="B138" s="22"/>
      <c r="C138" s="33"/>
      <c r="D138" s="33"/>
    </row>
    <row r="139" spans="1:4" ht="20.25" x14ac:dyDescent="0.25">
      <c r="A139" s="103"/>
      <c r="B139" s="22"/>
      <c r="C139" s="33"/>
      <c r="D139" s="33"/>
    </row>
    <row r="140" spans="1:4" ht="20.25" x14ac:dyDescent="0.25">
      <c r="A140" s="103"/>
      <c r="B140" s="22"/>
      <c r="C140" s="33"/>
      <c r="D140" s="33"/>
    </row>
    <row r="141" spans="1:4" ht="20.25" x14ac:dyDescent="0.25">
      <c r="A141" s="103"/>
      <c r="B141" s="22"/>
      <c r="C141" s="33"/>
      <c r="D141" s="33"/>
    </row>
    <row r="142" spans="1:4" ht="20.25" x14ac:dyDescent="0.25">
      <c r="A142" s="103"/>
      <c r="B142" s="22"/>
      <c r="C142" s="33"/>
      <c r="D142" s="33"/>
    </row>
    <row r="143" spans="1:4" ht="20.25" x14ac:dyDescent="0.25">
      <c r="A143" s="103"/>
      <c r="B143" s="22"/>
      <c r="C143" s="33"/>
      <c r="D143" s="33"/>
    </row>
    <row r="144" spans="1:4" ht="20.25" x14ac:dyDescent="0.25">
      <c r="A144" s="103"/>
      <c r="B144" s="22"/>
      <c r="C144" s="33"/>
      <c r="D144" s="33"/>
    </row>
    <row r="145" spans="1:4" ht="20.25" x14ac:dyDescent="0.25">
      <c r="A145" s="103"/>
      <c r="B145" s="22"/>
      <c r="C145" s="33"/>
      <c r="D145" s="33"/>
    </row>
    <row r="146" spans="1:4" ht="20.25" x14ac:dyDescent="0.25">
      <c r="A146" s="103"/>
      <c r="B146" s="22"/>
      <c r="C146" s="33"/>
      <c r="D146" s="33"/>
    </row>
    <row r="147" spans="1:4" ht="20.25" x14ac:dyDescent="0.25">
      <c r="A147" s="103"/>
      <c r="B147" s="22"/>
      <c r="C147" s="33"/>
      <c r="D147" s="33"/>
    </row>
    <row r="148" spans="1:4" ht="20.25" x14ac:dyDescent="0.25">
      <c r="A148" s="103"/>
      <c r="B148" s="22"/>
      <c r="C148" s="33"/>
      <c r="D148" s="33"/>
    </row>
    <row r="149" spans="1:4" ht="20.25" x14ac:dyDescent="0.25">
      <c r="A149" s="103"/>
      <c r="B149" s="22"/>
      <c r="C149" s="33"/>
      <c r="D149" s="33"/>
    </row>
    <row r="150" spans="1:4" ht="20.25" x14ac:dyDescent="0.25">
      <c r="A150" s="103"/>
      <c r="B150" s="22"/>
      <c r="C150" s="33"/>
      <c r="D150" s="33"/>
    </row>
    <row r="151" spans="1:4" ht="20.25" x14ac:dyDescent="0.25">
      <c r="A151" s="103"/>
      <c r="B151" s="22"/>
      <c r="C151" s="33"/>
      <c r="D151" s="33"/>
    </row>
    <row r="152" spans="1:4" ht="20.25" x14ac:dyDescent="0.25">
      <c r="A152" s="103"/>
      <c r="B152" s="22"/>
      <c r="C152" s="33"/>
      <c r="D152" s="33"/>
    </row>
    <row r="153" spans="1:4" ht="20.25" x14ac:dyDescent="0.25">
      <c r="A153" s="103"/>
      <c r="B153" s="22"/>
      <c r="C153" s="33"/>
      <c r="D153" s="33"/>
    </row>
    <row r="154" spans="1:4" ht="20.25" x14ac:dyDescent="0.25">
      <c r="A154" s="103"/>
      <c r="B154" s="22"/>
      <c r="C154" s="33"/>
      <c r="D154" s="33"/>
    </row>
    <row r="155" spans="1:4" ht="20.25" x14ac:dyDescent="0.25">
      <c r="A155" s="103"/>
      <c r="B155" s="22"/>
      <c r="C155" s="33"/>
      <c r="D155" s="33"/>
    </row>
    <row r="156" spans="1:4" ht="20.25" x14ac:dyDescent="0.25">
      <c r="A156" s="103"/>
      <c r="B156" s="22"/>
      <c r="C156" s="33"/>
      <c r="D156" s="33"/>
    </row>
    <row r="157" spans="1:4" ht="20.25" x14ac:dyDescent="0.25">
      <c r="A157" s="103"/>
      <c r="B157" s="22"/>
      <c r="C157" s="33"/>
      <c r="D157" s="33"/>
    </row>
    <row r="158" spans="1:4" ht="20.25" x14ac:dyDescent="0.25">
      <c r="A158" s="103"/>
      <c r="B158" s="22"/>
      <c r="C158" s="33"/>
      <c r="D158" s="33"/>
    </row>
    <row r="159" spans="1:4" ht="20.25" x14ac:dyDescent="0.25">
      <c r="A159" s="103"/>
      <c r="B159" s="22"/>
      <c r="C159" s="33"/>
      <c r="D159" s="33"/>
    </row>
    <row r="160" spans="1:4" ht="20.25" x14ac:dyDescent="0.25">
      <c r="A160" s="103"/>
      <c r="B160" s="22"/>
      <c r="C160" s="33"/>
      <c r="D160" s="33"/>
    </row>
    <row r="161" spans="1:4" ht="20.25" x14ac:dyDescent="0.25">
      <c r="A161" s="103"/>
      <c r="B161" s="22"/>
      <c r="C161" s="33"/>
      <c r="D161" s="33"/>
    </row>
    <row r="162" spans="1:4" ht="20.25" x14ac:dyDescent="0.25">
      <c r="A162" s="103"/>
      <c r="B162" s="22"/>
      <c r="C162" s="33"/>
      <c r="D162" s="33"/>
    </row>
    <row r="163" spans="1:4" ht="20.25" x14ac:dyDescent="0.25">
      <c r="A163" s="103"/>
      <c r="B163" s="22"/>
      <c r="C163" s="33"/>
      <c r="D163" s="33"/>
    </row>
    <row r="164" spans="1:4" ht="20.25" x14ac:dyDescent="0.25">
      <c r="A164" s="103"/>
      <c r="B164" s="22"/>
      <c r="C164" s="33"/>
      <c r="D164" s="33"/>
    </row>
    <row r="165" spans="1:4" ht="20.25" x14ac:dyDescent="0.25">
      <c r="A165" s="103"/>
      <c r="B165" s="22"/>
      <c r="C165" s="33"/>
      <c r="D165" s="33"/>
    </row>
    <row r="166" spans="1:4" ht="20.25" x14ac:dyDescent="0.25">
      <c r="A166" s="103"/>
      <c r="B166" s="22"/>
      <c r="C166" s="33"/>
      <c r="D166" s="33"/>
    </row>
    <row r="167" spans="1:4" ht="20.25" x14ac:dyDescent="0.25">
      <c r="A167" s="103"/>
      <c r="B167" s="22"/>
      <c r="C167" s="33"/>
      <c r="D167" s="33"/>
    </row>
    <row r="168" spans="1:4" ht="20.25" x14ac:dyDescent="0.25">
      <c r="A168" s="103"/>
      <c r="B168" s="22"/>
      <c r="C168" s="33"/>
      <c r="D168" s="33"/>
    </row>
    <row r="169" spans="1:4" ht="20.25" x14ac:dyDescent="0.25">
      <c r="A169" s="103"/>
      <c r="B169" s="22"/>
      <c r="C169" s="33"/>
      <c r="D169" s="33"/>
    </row>
    <row r="170" spans="1:4" ht="20.25" x14ac:dyDescent="0.25">
      <c r="A170" s="103"/>
      <c r="B170" s="22"/>
      <c r="C170" s="33"/>
      <c r="D170" s="33"/>
    </row>
    <row r="171" spans="1:4" ht="20.25" x14ac:dyDescent="0.25">
      <c r="A171" s="103"/>
      <c r="B171" s="22"/>
      <c r="C171" s="33"/>
      <c r="D171" s="33"/>
    </row>
    <row r="172" spans="1:4" ht="20.25" x14ac:dyDescent="0.25">
      <c r="A172" s="103"/>
      <c r="B172" s="22"/>
      <c r="C172" s="33"/>
      <c r="D172" s="33"/>
    </row>
    <row r="173" spans="1:4" ht="20.25" x14ac:dyDescent="0.25">
      <c r="A173" s="103"/>
      <c r="B173" s="22"/>
      <c r="C173" s="33"/>
      <c r="D173" s="33"/>
    </row>
    <row r="174" spans="1:4" ht="20.25" x14ac:dyDescent="0.25">
      <c r="A174" s="103"/>
      <c r="B174" s="22"/>
      <c r="C174" s="33"/>
      <c r="D174" s="33"/>
    </row>
    <row r="175" spans="1:4" ht="20.25" x14ac:dyDescent="0.25">
      <c r="A175" s="103"/>
      <c r="B175" s="22"/>
      <c r="C175" s="33"/>
      <c r="D175" s="33"/>
    </row>
    <row r="176" spans="1:4" ht="20.25" x14ac:dyDescent="0.25">
      <c r="A176" s="103"/>
      <c r="B176" s="22"/>
      <c r="C176" s="33"/>
      <c r="D176" s="33"/>
    </row>
    <row r="177" spans="1:4" ht="20.25" x14ac:dyDescent="0.25">
      <c r="A177" s="103"/>
      <c r="B177" s="22"/>
      <c r="C177" s="33"/>
      <c r="D177" s="33"/>
    </row>
    <row r="178" spans="1:4" ht="20.25" x14ac:dyDescent="0.25">
      <c r="A178" s="103"/>
      <c r="B178" s="22"/>
      <c r="C178" s="33"/>
      <c r="D178" s="33"/>
    </row>
    <row r="179" spans="1:4" ht="20.25" x14ac:dyDescent="0.25">
      <c r="A179" s="103"/>
      <c r="B179" s="22"/>
      <c r="C179" s="33"/>
      <c r="D179" s="33"/>
    </row>
    <row r="180" spans="1:4" ht="20.25" x14ac:dyDescent="0.25">
      <c r="A180" s="103"/>
      <c r="B180" s="22"/>
      <c r="C180" s="33"/>
      <c r="D180" s="33"/>
    </row>
    <row r="181" spans="1:4" ht="20.25" x14ac:dyDescent="0.25">
      <c r="A181" s="103"/>
      <c r="B181" s="22"/>
      <c r="C181" s="33"/>
      <c r="D181" s="33"/>
    </row>
    <row r="182" spans="1:4" ht="20.25" x14ac:dyDescent="0.25">
      <c r="A182" s="103"/>
      <c r="B182" s="22"/>
      <c r="C182" s="33"/>
      <c r="D182" s="33"/>
    </row>
    <row r="183" spans="1:4" ht="20.25" x14ac:dyDescent="0.25">
      <c r="A183" s="103"/>
      <c r="B183" s="22"/>
      <c r="C183" s="33"/>
      <c r="D183" s="33"/>
    </row>
    <row r="184" spans="1:4" ht="20.25" x14ac:dyDescent="0.25">
      <c r="A184" s="103"/>
      <c r="B184" s="22"/>
      <c r="C184" s="33"/>
      <c r="D184" s="33"/>
    </row>
    <row r="185" spans="1:4" ht="20.25" x14ac:dyDescent="0.25">
      <c r="A185" s="103"/>
      <c r="B185" s="22"/>
      <c r="C185" s="33"/>
      <c r="D185" s="33"/>
    </row>
    <row r="186" spans="1:4" ht="20.25" x14ac:dyDescent="0.25">
      <c r="A186" s="103"/>
      <c r="B186" s="22"/>
      <c r="C186" s="33"/>
      <c r="D186" s="33"/>
    </row>
    <row r="187" spans="1:4" ht="20.25" x14ac:dyDescent="0.25">
      <c r="A187" s="103"/>
      <c r="B187" s="22"/>
      <c r="C187" s="33"/>
      <c r="D187" s="33"/>
    </row>
    <row r="188" spans="1:4" ht="20.25" x14ac:dyDescent="0.25">
      <c r="A188" s="103"/>
      <c r="B188" s="22"/>
      <c r="C188" s="33"/>
      <c r="D188" s="33"/>
    </row>
    <row r="189" spans="1:4" ht="20.25" x14ac:dyDescent="0.25">
      <c r="A189" s="103"/>
      <c r="B189" s="22"/>
      <c r="C189" s="33"/>
      <c r="D189" s="33"/>
    </row>
    <row r="190" spans="1:4" ht="20.25" x14ac:dyDescent="0.25">
      <c r="A190" s="103"/>
      <c r="B190" s="22"/>
      <c r="C190" s="33"/>
      <c r="D190" s="33"/>
    </row>
    <row r="191" spans="1:4" ht="20.25" x14ac:dyDescent="0.25">
      <c r="A191" s="103"/>
      <c r="B191" s="22"/>
      <c r="C191" s="33"/>
      <c r="D191" s="33"/>
    </row>
    <row r="192" spans="1:4" ht="20.25" x14ac:dyDescent="0.25">
      <c r="A192" s="103"/>
      <c r="B192" s="22"/>
      <c r="C192" s="33"/>
      <c r="D192" s="33"/>
    </row>
    <row r="193" spans="1:4" ht="20.25" x14ac:dyDescent="0.25">
      <c r="A193" s="103"/>
      <c r="B193" s="22"/>
      <c r="C193" s="33"/>
      <c r="D193" s="33"/>
    </row>
    <row r="194" spans="1:4" ht="20.25" x14ac:dyDescent="0.25">
      <c r="A194" s="103"/>
      <c r="B194" s="22"/>
      <c r="C194" s="33"/>
      <c r="D194" s="33"/>
    </row>
    <row r="195" spans="1:4" ht="20.25" x14ac:dyDescent="0.25">
      <c r="A195" s="103"/>
      <c r="B195" s="22"/>
      <c r="C195" s="33"/>
      <c r="D195" s="33"/>
    </row>
    <row r="196" spans="1:4" ht="20.25" x14ac:dyDescent="0.25">
      <c r="A196" s="103"/>
      <c r="B196" s="22"/>
      <c r="C196" s="33"/>
      <c r="D196" s="33"/>
    </row>
    <row r="197" spans="1:4" ht="20.25" x14ac:dyDescent="0.25">
      <c r="A197" s="103"/>
      <c r="B197" s="22"/>
      <c r="C197" s="33"/>
      <c r="D197" s="33"/>
    </row>
    <row r="198" spans="1:4" ht="20.25" x14ac:dyDescent="0.25">
      <c r="A198" s="103"/>
      <c r="B198" s="22"/>
      <c r="C198" s="33"/>
      <c r="D198" s="33"/>
    </row>
    <row r="199" spans="1:4" ht="20.25" x14ac:dyDescent="0.25">
      <c r="A199" s="103"/>
      <c r="B199" s="22"/>
      <c r="C199" s="33"/>
      <c r="D199" s="33"/>
    </row>
    <row r="200" spans="1:4" ht="20.25" x14ac:dyDescent="0.25">
      <c r="A200" s="103"/>
      <c r="B200" s="22"/>
      <c r="C200" s="33"/>
      <c r="D200" s="33"/>
    </row>
    <row r="201" spans="1:4" ht="20.25" x14ac:dyDescent="0.25">
      <c r="A201" s="103"/>
      <c r="B201" s="22"/>
      <c r="C201" s="33"/>
      <c r="D201" s="33"/>
    </row>
    <row r="202" spans="1:4" ht="20.25" x14ac:dyDescent="0.25">
      <c r="A202" s="103"/>
      <c r="B202" s="22"/>
      <c r="C202" s="33"/>
      <c r="D202" s="33"/>
    </row>
    <row r="203" spans="1:4" ht="20.25" x14ac:dyDescent="0.25">
      <c r="A203" s="103"/>
      <c r="B203" s="22"/>
      <c r="C203" s="33"/>
      <c r="D203" s="33"/>
    </row>
    <row r="204" spans="1:4" ht="20.25" x14ac:dyDescent="0.25">
      <c r="A204" s="103"/>
      <c r="B204" s="22"/>
      <c r="C204" s="33"/>
      <c r="D204" s="33"/>
    </row>
    <row r="205" spans="1:4" ht="20.25" x14ac:dyDescent="0.25">
      <c r="A205" s="103"/>
      <c r="B205" s="22"/>
      <c r="C205" s="33"/>
      <c r="D205" s="33"/>
    </row>
    <row r="206" spans="1:4" ht="20.25" x14ac:dyDescent="0.25">
      <c r="A206" s="103"/>
      <c r="B206" s="22"/>
      <c r="C206" s="33"/>
      <c r="D206" s="33"/>
    </row>
    <row r="207" spans="1:4" ht="20.25" x14ac:dyDescent="0.25">
      <c r="A207" s="103"/>
      <c r="B207" s="22"/>
      <c r="C207" s="33"/>
      <c r="D207" s="33"/>
    </row>
    <row r="208" spans="1:4" x14ac:dyDescent="0.25">
      <c r="A208" s="83"/>
      <c r="B208" s="22"/>
      <c r="C208" s="22"/>
      <c r="D208" s="22"/>
    </row>
    <row r="209" spans="1:8" ht="20.25" x14ac:dyDescent="0.25">
      <c r="A209" s="83"/>
      <c r="B209" s="29" t="s">
        <v>88</v>
      </c>
      <c r="C209" s="29" t="s">
        <v>145</v>
      </c>
      <c r="D209" s="32" t="s">
        <v>88</v>
      </c>
      <c r="E209" s="32" t="s">
        <v>145</v>
      </c>
    </row>
    <row r="210" spans="1:8" ht="21" x14ac:dyDescent="0.35">
      <c r="A210" s="83"/>
      <c r="B210" s="30" t="s">
        <v>90</v>
      </c>
      <c r="C210" s="30"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0" t="s">
        <v>90</v>
      </c>
      <c r="C211" s="30" t="s">
        <v>93</v>
      </c>
      <c r="E211" t="s">
        <v>58</v>
      </c>
      <c r="F211" t="str">
        <f t="shared" ref="F211:F221" si="0">IF(NOT(ISBLANK(D211)),D211,IF(NOT(ISBLANK(E211)),"     "&amp;E211,FALSE))</f>
        <v xml:space="preserve">     Afectación menor a 10 SMLMV .</v>
      </c>
    </row>
    <row r="212" spans="1:8" ht="21" x14ac:dyDescent="0.35">
      <c r="A212" s="83"/>
      <c r="B212" s="30" t="s">
        <v>90</v>
      </c>
      <c r="C212" s="30" t="s">
        <v>94</v>
      </c>
      <c r="E212" t="s">
        <v>93</v>
      </c>
      <c r="F212" t="str">
        <f t="shared" si="0"/>
        <v xml:space="preserve">     Entre 10 y 50 SMLMV </v>
      </c>
    </row>
    <row r="213" spans="1:8" ht="21" x14ac:dyDescent="0.35">
      <c r="A213" s="83"/>
      <c r="B213" s="30" t="s">
        <v>90</v>
      </c>
      <c r="C213" s="30" t="s">
        <v>95</v>
      </c>
      <c r="E213" t="s">
        <v>94</v>
      </c>
      <c r="F213" t="str">
        <f t="shared" si="0"/>
        <v xml:space="preserve">     Entre 50 y 100 SMLMV </v>
      </c>
    </row>
    <row r="214" spans="1:8" ht="21" x14ac:dyDescent="0.35">
      <c r="A214" s="83"/>
      <c r="B214" s="30" t="s">
        <v>90</v>
      </c>
      <c r="C214" s="30" t="s">
        <v>96</v>
      </c>
      <c r="E214" t="s">
        <v>95</v>
      </c>
      <c r="F214" t="str">
        <f t="shared" si="0"/>
        <v xml:space="preserve">     Entre 100 y 500 SMLMV </v>
      </c>
    </row>
    <row r="215" spans="1:8" ht="21" x14ac:dyDescent="0.35">
      <c r="A215" s="83"/>
      <c r="B215" s="30" t="s">
        <v>57</v>
      </c>
      <c r="C215" s="30" t="s">
        <v>97</v>
      </c>
      <c r="E215" t="s">
        <v>96</v>
      </c>
      <c r="F215" t="str">
        <f t="shared" si="0"/>
        <v xml:space="preserve">     Mayor a 500 SMLMV </v>
      </c>
    </row>
    <row r="216" spans="1:8" ht="21" x14ac:dyDescent="0.35">
      <c r="A216" s="83"/>
      <c r="B216" s="30" t="s">
        <v>57</v>
      </c>
      <c r="C216" s="30" t="s">
        <v>98</v>
      </c>
      <c r="D216" t="s">
        <v>57</v>
      </c>
      <c r="F216" t="str">
        <f t="shared" si="0"/>
        <v>Pérdida Reputacional</v>
      </c>
    </row>
    <row r="217" spans="1:8" ht="21" x14ac:dyDescent="0.35">
      <c r="A217" s="83"/>
      <c r="B217" s="30" t="s">
        <v>57</v>
      </c>
      <c r="C217" s="30" t="s">
        <v>100</v>
      </c>
      <c r="E217" t="s">
        <v>97</v>
      </c>
      <c r="F217" t="str">
        <f t="shared" si="0"/>
        <v xml:space="preserve">     El riesgo afecta la imagen de alguna área de la organización</v>
      </c>
    </row>
    <row r="218" spans="1:8" ht="21" x14ac:dyDescent="0.35">
      <c r="A218" s="83"/>
      <c r="B218" s="30" t="s">
        <v>57</v>
      </c>
      <c r="C218" s="30"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0" t="s">
        <v>57</v>
      </c>
      <c r="C219" s="30" t="s">
        <v>118</v>
      </c>
      <c r="E219" t="s">
        <v>100</v>
      </c>
      <c r="F219" t="str">
        <f t="shared" si="0"/>
        <v xml:space="preserve">     El riesgo afecta la imagen de la entidad con algunos usuarios de relevancia frente al logro de los objetivos</v>
      </c>
    </row>
    <row r="220" spans="1:8" x14ac:dyDescent="0.25">
      <c r="A220" s="83"/>
      <c r="B220" s="31"/>
      <c r="C220" s="31"/>
      <c r="E220" t="s">
        <v>99</v>
      </c>
      <c r="F220" t="str">
        <f t="shared" si="0"/>
        <v xml:space="preserve">     El riesgo afecta la imagen de de la entidad con efecto publicitario sostenido a nivel de sector administrativo, nivel departamental o municipal</v>
      </c>
    </row>
    <row r="221" spans="1:8" x14ac:dyDescent="0.25">
      <c r="A221" s="83"/>
      <c r="B221" s="31" t="str" cm="1">
        <f t="array" ref="B221:B223">_xlfn.UNIQUE(Tabla1[[#All],[Criterios]])</f>
        <v>Criterios</v>
      </c>
      <c r="C221" s="31"/>
      <c r="E221" t="s">
        <v>118</v>
      </c>
      <c r="F221" t="str">
        <f t="shared" si="0"/>
        <v xml:space="preserve">     El riesgo afecta la imagen de la entidad a nivel nacional, con efecto publicitarios sostenible a nivel país</v>
      </c>
    </row>
    <row r="222" spans="1:8" x14ac:dyDescent="0.25">
      <c r="A222" s="83"/>
      <c r="B222" s="31" t="str">
        <v>Afectación Económica o presupuestal</v>
      </c>
      <c r="C222" s="31"/>
    </row>
    <row r="223" spans="1:8" x14ac:dyDescent="0.25">
      <c r="B223" s="31" t="str">
        <v>Pérdida Reputacional</v>
      </c>
      <c r="C223" s="31"/>
      <c r="F223" s="34" t="s">
        <v>147</v>
      </c>
    </row>
    <row r="224" spans="1:8" x14ac:dyDescent="0.25">
      <c r="B224" s="21"/>
      <c r="C224" s="21"/>
      <c r="F224" s="34" t="s">
        <v>148</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537" t="s">
        <v>78</v>
      </c>
      <c r="C1" s="538"/>
      <c r="D1" s="538"/>
      <c r="E1" s="538"/>
      <c r="F1" s="539"/>
    </row>
    <row r="2" spans="2:6" ht="16.5" thickBot="1" x14ac:dyDescent="0.3">
      <c r="B2" s="89"/>
      <c r="C2" s="89"/>
      <c r="D2" s="89"/>
      <c r="E2" s="89"/>
      <c r="F2" s="89"/>
    </row>
    <row r="3" spans="2:6" ht="16.5" thickBot="1" x14ac:dyDescent="0.25">
      <c r="B3" s="541" t="s">
        <v>64</v>
      </c>
      <c r="C3" s="542"/>
      <c r="D3" s="542"/>
      <c r="E3" s="101" t="s">
        <v>65</v>
      </c>
      <c r="F3" s="102" t="s">
        <v>66</v>
      </c>
    </row>
    <row r="4" spans="2:6" ht="31.5" x14ac:dyDescent="0.2">
      <c r="B4" s="543" t="s">
        <v>67</v>
      </c>
      <c r="C4" s="545" t="s">
        <v>13</v>
      </c>
      <c r="D4" s="90" t="s">
        <v>14</v>
      </c>
      <c r="E4" s="91" t="s">
        <v>68</v>
      </c>
      <c r="F4" s="92">
        <v>0.25</v>
      </c>
    </row>
    <row r="5" spans="2:6" ht="47.25" x14ac:dyDescent="0.2">
      <c r="B5" s="544"/>
      <c r="C5" s="546"/>
      <c r="D5" s="93" t="s">
        <v>15</v>
      </c>
      <c r="E5" s="94" t="s">
        <v>69</v>
      </c>
      <c r="F5" s="95">
        <v>0.15</v>
      </c>
    </row>
    <row r="6" spans="2:6" ht="47.25" x14ac:dyDescent="0.2">
      <c r="B6" s="544"/>
      <c r="C6" s="546"/>
      <c r="D6" s="93" t="s">
        <v>16</v>
      </c>
      <c r="E6" s="94" t="s">
        <v>70</v>
      </c>
      <c r="F6" s="95">
        <v>0.1</v>
      </c>
    </row>
    <row r="7" spans="2:6" ht="63" x14ac:dyDescent="0.2">
      <c r="B7" s="544"/>
      <c r="C7" s="546" t="s">
        <v>17</v>
      </c>
      <c r="D7" s="93" t="s">
        <v>10</v>
      </c>
      <c r="E7" s="94" t="s">
        <v>71</v>
      </c>
      <c r="F7" s="95">
        <v>0.25</v>
      </c>
    </row>
    <row r="8" spans="2:6" ht="31.5" x14ac:dyDescent="0.2">
      <c r="B8" s="544"/>
      <c r="C8" s="546"/>
      <c r="D8" s="93" t="s">
        <v>9</v>
      </c>
      <c r="E8" s="94" t="s">
        <v>72</v>
      </c>
      <c r="F8" s="95">
        <v>0.15</v>
      </c>
    </row>
    <row r="9" spans="2:6" ht="47.25" x14ac:dyDescent="0.2">
      <c r="B9" s="544" t="s">
        <v>162</v>
      </c>
      <c r="C9" s="546" t="s">
        <v>18</v>
      </c>
      <c r="D9" s="93" t="s">
        <v>19</v>
      </c>
      <c r="E9" s="94" t="s">
        <v>73</v>
      </c>
      <c r="F9" s="96" t="s">
        <v>74</v>
      </c>
    </row>
    <row r="10" spans="2:6" ht="63" x14ac:dyDescent="0.2">
      <c r="B10" s="544"/>
      <c r="C10" s="546"/>
      <c r="D10" s="93" t="s">
        <v>20</v>
      </c>
      <c r="E10" s="94" t="s">
        <v>75</v>
      </c>
      <c r="F10" s="96" t="s">
        <v>74</v>
      </c>
    </row>
    <row r="11" spans="2:6" ht="47.25" x14ac:dyDescent="0.2">
      <c r="B11" s="544"/>
      <c r="C11" s="546" t="s">
        <v>21</v>
      </c>
      <c r="D11" s="93" t="s">
        <v>22</v>
      </c>
      <c r="E11" s="94" t="s">
        <v>76</v>
      </c>
      <c r="F11" s="96" t="s">
        <v>74</v>
      </c>
    </row>
    <row r="12" spans="2:6" ht="47.25" x14ac:dyDescent="0.2">
      <c r="B12" s="544"/>
      <c r="C12" s="546"/>
      <c r="D12" s="93" t="s">
        <v>23</v>
      </c>
      <c r="E12" s="94" t="s">
        <v>77</v>
      </c>
      <c r="F12" s="96" t="s">
        <v>74</v>
      </c>
    </row>
    <row r="13" spans="2:6" ht="31.5" x14ac:dyDescent="0.2">
      <c r="B13" s="544"/>
      <c r="C13" s="546" t="s">
        <v>24</v>
      </c>
      <c r="D13" s="93" t="s">
        <v>119</v>
      </c>
      <c r="E13" s="94" t="s">
        <v>122</v>
      </c>
      <c r="F13" s="96" t="s">
        <v>74</v>
      </c>
    </row>
    <row r="14" spans="2:6" ht="32.25" thickBot="1" x14ac:dyDescent="0.25">
      <c r="B14" s="547"/>
      <c r="C14" s="548"/>
      <c r="D14" s="97" t="s">
        <v>120</v>
      </c>
      <c r="E14" s="98" t="s">
        <v>121</v>
      </c>
      <c r="F14" s="99" t="s">
        <v>74</v>
      </c>
    </row>
    <row r="15" spans="2:6" ht="49.5" customHeight="1" x14ac:dyDescent="0.2">
      <c r="B15" s="540" t="s">
        <v>159</v>
      </c>
      <c r="C15" s="540"/>
      <c r="D15" s="540"/>
      <c r="E15" s="540"/>
      <c r="F15" s="540"/>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2020-05-13T01:12:22Z</cp:lastPrinted>
  <dcterms:created xsi:type="dcterms:W3CDTF">2020-03-24T23:12:47Z</dcterms:created>
  <dcterms:modified xsi:type="dcterms:W3CDTF">2021-12-20T20:54:25Z</dcterms:modified>
</cp:coreProperties>
</file>